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1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Hoja1" sheetId="36" r:id="rId13"/>
    <sheet name="COG_PARTIDA_ESPECIFICA" sheetId="37" r:id="rId14"/>
    <sheet name="Hoja2" sheetId="49" r:id="rId15"/>
  </sheet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3">COG_PARTIDA_ESPECIFICA!$A$10:$K$297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3">COG_PARTIDA_ESPECIFICA!#REF!</definedName>
    <definedName name="Print_Titles" localSheetId="13">COG_PARTIDA_ESPECIFICA!$9:$18</definedName>
    <definedName name="_xlnm.Print_Titles" localSheetId="6">COG!$1:$9</definedName>
    <definedName name="_xlnm.Print_Titles" localSheetId="13">COG_PARTIDA_ESPECIFICA!$1:$9</definedName>
  </definedNames>
  <calcPr calcId="145621"/>
</workbook>
</file>

<file path=xl/calcChain.xml><?xml version="1.0" encoding="utf-8"?>
<calcChain xmlns="http://schemas.openxmlformats.org/spreadsheetml/2006/main">
  <c r="C7" i="40" l="1"/>
  <c r="J131" i="37" l="1"/>
  <c r="J74" i="37"/>
  <c r="J69" i="37"/>
  <c r="J17" i="37"/>
  <c r="J25" i="37"/>
  <c r="J26" i="37"/>
  <c r="J29" i="37"/>
  <c r="J28" i="37"/>
  <c r="J158" i="37"/>
  <c r="J20" i="37" l="1"/>
  <c r="J15" i="37"/>
  <c r="J47" i="37" l="1"/>
  <c r="J60" i="37" l="1"/>
  <c r="J37" i="37"/>
  <c r="J36" i="37"/>
  <c r="J33" i="37"/>
  <c r="J135" i="37" l="1"/>
  <c r="J133" i="37"/>
  <c r="J126" i="37"/>
  <c r="J124" i="37"/>
  <c r="J115" i="37"/>
  <c r="J114" i="37"/>
  <c r="J104" i="37"/>
  <c r="J102" i="37"/>
  <c r="J100" i="37"/>
  <c r="J98" i="37"/>
  <c r="J85" i="37"/>
  <c r="J84" i="37"/>
  <c r="J83" i="37"/>
  <c r="J80" i="37"/>
  <c r="J78" i="37"/>
  <c r="J76" i="37"/>
  <c r="J72" i="37"/>
  <c r="J70" i="37"/>
  <c r="J271" i="37" l="1"/>
  <c r="J269" i="37"/>
  <c r="J259" i="37"/>
  <c r="J257" i="37"/>
  <c r="J250" i="37"/>
  <c r="J248" i="37"/>
  <c r="J198" i="37" l="1"/>
  <c r="J229" i="37"/>
  <c r="J225" i="37"/>
  <c r="J219" i="37"/>
  <c r="J208" i="37"/>
  <c r="J207" i="37"/>
  <c r="J205" i="37"/>
  <c r="J203" i="37"/>
  <c r="J201" i="37"/>
  <c r="J200" i="37"/>
  <c r="J196" i="37"/>
  <c r="J192" i="37"/>
  <c r="J190" i="37"/>
  <c r="J188" i="37"/>
  <c r="J173" i="37"/>
  <c r="J175" i="37"/>
  <c r="J172" i="37"/>
  <c r="J171" i="37"/>
  <c r="J167" i="37"/>
  <c r="J162" i="37"/>
  <c r="J153" i="37"/>
  <c r="J151" i="37"/>
  <c r="J147" i="37"/>
  <c r="J145" i="37"/>
  <c r="J143" i="37"/>
  <c r="J141" i="37"/>
  <c r="J284" i="37" l="1"/>
  <c r="J283" i="37" s="1"/>
  <c r="J282" i="37" s="1"/>
  <c r="J279" i="37"/>
  <c r="J278" i="37"/>
  <c r="J277" i="37"/>
  <c r="J270" i="37"/>
  <c r="J267" i="37" s="1"/>
  <c r="J268" i="37"/>
  <c r="J261" i="37"/>
  <c r="J260" i="37" s="1"/>
  <c r="J258" i="37"/>
  <c r="J256" i="37"/>
  <c r="J255" i="37"/>
  <c r="J253" i="37"/>
  <c r="J249" i="37"/>
  <c r="J247" i="37"/>
  <c r="J246" i="37"/>
  <c r="J239" i="37"/>
  <c r="J238" i="37"/>
  <c r="J237" i="37"/>
  <c r="J228" i="37"/>
  <c r="J227" i="37" s="1"/>
  <c r="J224" i="37"/>
  <c r="J218" i="37"/>
  <c r="J215" i="37"/>
  <c r="J212" i="37" s="1"/>
  <c r="J213" i="37"/>
  <c r="J210" i="37"/>
  <c r="J209" i="37" s="1"/>
  <c r="J206" i="37"/>
  <c r="J202" i="37"/>
  <c r="J197" i="37"/>
  <c r="J195" i="37"/>
  <c r="J193" i="37"/>
  <c r="J191" i="37"/>
  <c r="J189" i="37"/>
  <c r="J187" i="37"/>
  <c r="J184" i="37"/>
  <c r="J182" i="37"/>
  <c r="J177" i="37"/>
  <c r="J176" i="37" s="1"/>
  <c r="J174" i="37"/>
  <c r="J170" i="37"/>
  <c r="J166" i="37"/>
  <c r="J163" i="37" s="1"/>
  <c r="J164" i="37"/>
  <c r="J161" i="37"/>
  <c r="J159" i="37"/>
  <c r="J157" i="37"/>
  <c r="J154" i="37" s="1"/>
  <c r="J155" i="37"/>
  <c r="J152" i="37"/>
  <c r="J150" i="37"/>
  <c r="J146" i="37"/>
  <c r="J144" i="37"/>
  <c r="J142" i="37"/>
  <c r="J140" i="37"/>
  <c r="J134" i="37"/>
  <c r="J132" i="37"/>
  <c r="J130" i="37"/>
  <c r="J127" i="37"/>
  <c r="J125" i="37"/>
  <c r="J122" i="37" s="1"/>
  <c r="J123" i="37"/>
  <c r="J117" i="37"/>
  <c r="J116" i="37"/>
  <c r="J113" i="37"/>
  <c r="J112" i="37"/>
  <c r="J110" i="37"/>
  <c r="J108" i="37"/>
  <c r="J105" i="37" s="1"/>
  <c r="J106" i="37"/>
  <c r="J103" i="37"/>
  <c r="J101" i="37"/>
  <c r="J99" i="37"/>
  <c r="J97" i="37"/>
  <c r="J86" i="37"/>
  <c r="J81" i="37" s="1"/>
  <c r="J82" i="37"/>
  <c r="J79" i="37"/>
  <c r="J77" i="37"/>
  <c r="J75" i="37"/>
  <c r="J73" i="37"/>
  <c r="J71" i="37"/>
  <c r="J68" i="37"/>
  <c r="J63" i="37"/>
  <c r="J62" i="37"/>
  <c r="J58" i="37"/>
  <c r="J48" i="37"/>
  <c r="J46" i="37"/>
  <c r="J38" i="37"/>
  <c r="J35" i="37"/>
  <c r="J34" i="37" s="1"/>
  <c r="J32" i="37"/>
  <c r="J30" i="37"/>
  <c r="J27" i="37"/>
  <c r="J24" i="37"/>
  <c r="J21" i="37"/>
  <c r="J19" i="37"/>
  <c r="J18" i="37" s="1"/>
  <c r="J16" i="37"/>
  <c r="J13" i="37" s="1"/>
  <c r="J14" i="37"/>
  <c r="G284" i="37"/>
  <c r="G283" i="37"/>
  <c r="G282" i="37" s="1"/>
  <c r="G279" i="37"/>
  <c r="G278" i="37" s="1"/>
  <c r="G277" i="37" s="1"/>
  <c r="G274" i="37"/>
  <c r="G272" i="37"/>
  <c r="G270" i="37"/>
  <c r="G268" i="37"/>
  <c r="G265" i="37"/>
  <c r="G264" i="37" s="1"/>
  <c r="G261" i="37"/>
  <c r="G260" i="37"/>
  <c r="G258" i="37"/>
  <c r="G255" i="37" s="1"/>
  <c r="G256" i="37"/>
  <c r="G253" i="37"/>
  <c r="G249" i="37"/>
  <c r="G247" i="37"/>
  <c r="G242" i="37"/>
  <c r="G241" i="37"/>
  <c r="G239" i="37"/>
  <c r="G238" i="37" s="1"/>
  <c r="G237" i="37" s="1"/>
  <c r="G234" i="37"/>
  <c r="G231" i="37" s="1"/>
  <c r="G232" i="37"/>
  <c r="G228" i="37"/>
  <c r="G227" i="37" s="1"/>
  <c r="G224" i="37"/>
  <c r="G221" i="37"/>
  <c r="G218" i="37"/>
  <c r="G215" i="37"/>
  <c r="G212" i="37" s="1"/>
  <c r="G213" i="37"/>
  <c r="G210" i="37"/>
  <c r="G209" i="37"/>
  <c r="G206" i="37"/>
  <c r="G202" i="37"/>
  <c r="G197" i="37"/>
  <c r="G195" i="37"/>
  <c r="G193" i="37"/>
  <c r="G191" i="37"/>
  <c r="G189" i="37"/>
  <c r="G187" i="37"/>
  <c r="G184" i="37"/>
  <c r="G182" i="37"/>
  <c r="G180" i="37"/>
  <c r="G177" i="37"/>
  <c r="G174" i="37"/>
  <c r="G170" i="37"/>
  <c r="G168" i="37"/>
  <c r="G166" i="37"/>
  <c r="G164" i="37"/>
  <c r="G161" i="37"/>
  <c r="G159" i="37"/>
  <c r="G157" i="37"/>
  <c r="G155" i="37"/>
  <c r="G152" i="37"/>
  <c r="G150" i="37"/>
  <c r="G148" i="37"/>
  <c r="G146" i="37"/>
  <c r="G144" i="37"/>
  <c r="G142" i="37"/>
  <c r="G140" i="37"/>
  <c r="G134" i="37"/>
  <c r="G132" i="37"/>
  <c r="G130" i="37"/>
  <c r="G127" i="37"/>
  <c r="G125" i="37"/>
  <c r="G123" i="37"/>
  <c r="G120" i="37"/>
  <c r="G117" i="37"/>
  <c r="G113" i="37"/>
  <c r="G112" i="37" s="1"/>
  <c r="G110" i="37"/>
  <c r="G108" i="37"/>
  <c r="G106" i="37"/>
  <c r="G105" i="37" s="1"/>
  <c r="G103" i="37"/>
  <c r="G101" i="37"/>
  <c r="G99" i="37"/>
  <c r="G97" i="37"/>
  <c r="G95" i="37"/>
  <c r="G93" i="37"/>
  <c r="G91" i="37"/>
  <c r="G89" i="37"/>
  <c r="G86" i="37"/>
  <c r="G82" i="37"/>
  <c r="G81" i="37"/>
  <c r="G79" i="37"/>
  <c r="G77" i="37"/>
  <c r="G75" i="37"/>
  <c r="G73" i="37"/>
  <c r="G71" i="37"/>
  <c r="G68" i="37"/>
  <c r="G63" i="37"/>
  <c r="G62" i="37"/>
  <c r="G58" i="37"/>
  <c r="G56" i="37"/>
  <c r="G48" i="37"/>
  <c r="G46" i="37"/>
  <c r="G44" i="37"/>
  <c r="G38" i="37"/>
  <c r="G35" i="37"/>
  <c r="G34" i="37" s="1"/>
  <c r="G32" i="37"/>
  <c r="G30" i="37"/>
  <c r="G27" i="37"/>
  <c r="G24" i="37"/>
  <c r="G21" i="37"/>
  <c r="G19" i="37"/>
  <c r="G16" i="37"/>
  <c r="G18" i="37" l="1"/>
  <c r="J23" i="37"/>
  <c r="J67" i="37"/>
  <c r="J245" i="37"/>
  <c r="J186" i="37"/>
  <c r="J139" i="37"/>
  <c r="G43" i="37"/>
  <c r="G67" i="37"/>
  <c r="G176" i="37"/>
  <c r="G186" i="37"/>
  <c r="G267" i="37"/>
  <c r="G23" i="37"/>
  <c r="G246" i="37"/>
  <c r="G154" i="37"/>
  <c r="G122" i="37"/>
  <c r="G163" i="37"/>
  <c r="G116" i="37"/>
  <c r="G88" i="37"/>
  <c r="G139" i="37"/>
  <c r="G245" i="37" l="1"/>
  <c r="J138" i="37"/>
  <c r="G138" i="37"/>
  <c r="G66" i="37"/>
  <c r="I166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3" i="37"/>
  <c r="I62" i="37" s="1"/>
  <c r="I68" i="37"/>
  <c r="I73" i="37"/>
  <c r="I71" i="37"/>
  <c r="I82" i="37"/>
  <c r="I79" i="37"/>
  <c r="I77" i="37"/>
  <c r="I75" i="37"/>
  <c r="I97" i="37"/>
  <c r="I86" i="37"/>
  <c r="I103" i="37"/>
  <c r="I101" i="37"/>
  <c r="I99" i="37"/>
  <c r="I108" i="37"/>
  <c r="I106" i="37"/>
  <c r="I117" i="37"/>
  <c r="I116" i="37" s="1"/>
  <c r="I113" i="37"/>
  <c r="I112" i="37"/>
  <c r="I110" i="37"/>
  <c r="I105" i="37" s="1"/>
  <c r="I127" i="37"/>
  <c r="I125" i="37"/>
  <c r="I123" i="37"/>
  <c r="I134" i="37"/>
  <c r="I132" i="37"/>
  <c r="I130" i="37"/>
  <c r="I140" i="37"/>
  <c r="I142" i="37"/>
  <c r="I144" i="37"/>
  <c r="I146" i="37"/>
  <c r="I150" i="37"/>
  <c r="I152" i="37"/>
  <c r="I155" i="37"/>
  <c r="I157" i="37"/>
  <c r="I164" i="37"/>
  <c r="I161" i="37"/>
  <c r="I159" i="37"/>
  <c r="I177" i="37"/>
  <c r="I174" i="37"/>
  <c r="I170" i="37"/>
  <c r="I182" i="37"/>
  <c r="I187" i="37"/>
  <c r="I184" i="37"/>
  <c r="I189" i="37"/>
  <c r="I191" i="37"/>
  <c r="I193" i="37"/>
  <c r="I197" i="37"/>
  <c r="I195" i="37"/>
  <c r="I202" i="37"/>
  <c r="I206" i="37"/>
  <c r="I210" i="37"/>
  <c r="I209" i="37" s="1"/>
  <c r="I213" i="37"/>
  <c r="I228" i="37"/>
  <c r="I227" i="37" s="1"/>
  <c r="I215" i="37"/>
  <c r="I218" i="37"/>
  <c r="I224" i="37"/>
  <c r="I239" i="37"/>
  <c r="I238" i="37" s="1"/>
  <c r="I237" i="37" s="1"/>
  <c r="I247" i="37"/>
  <c r="I249" i="37"/>
  <c r="I253" i="37"/>
  <c r="I256" i="37"/>
  <c r="I258" i="37"/>
  <c r="I261" i="37"/>
  <c r="I260" i="37" s="1"/>
  <c r="I268" i="37"/>
  <c r="I267" i="37" s="1"/>
  <c r="I270" i="37"/>
  <c r="I279" i="37"/>
  <c r="I278" i="37" s="1"/>
  <c r="I277" i="37" s="1"/>
  <c r="I284" i="37"/>
  <c r="I283" i="37" s="1"/>
  <c r="I282" i="37" s="1"/>
  <c r="I23" i="37" l="1"/>
  <c r="I34" i="37"/>
  <c r="I176" i="37"/>
  <c r="I154" i="37"/>
  <c r="I13" i="37"/>
  <c r="I163" i="37"/>
  <c r="I139" i="37"/>
  <c r="I255" i="37"/>
  <c r="I186" i="37"/>
  <c r="I81" i="37"/>
  <c r="I18" i="37"/>
  <c r="I246" i="37"/>
  <c r="I245" i="37" s="1"/>
  <c r="I212" i="37"/>
  <c r="I67" i="37"/>
  <c r="I122" i="37"/>
  <c r="I33" i="29"/>
  <c r="H33" i="29"/>
  <c r="F33" i="29"/>
  <c r="E33" i="29"/>
  <c r="I138" i="37" l="1"/>
  <c r="F43" i="29"/>
  <c r="F221" i="37" l="1"/>
  <c r="F224" i="37"/>
  <c r="F168" i="37"/>
  <c r="F166" i="37"/>
  <c r="F170" i="37"/>
  <c r="I42" i="29" l="1"/>
  <c r="H42" i="29"/>
  <c r="G42" i="29"/>
  <c r="F42" i="29"/>
  <c r="E42" i="29"/>
  <c r="F264" i="37" l="1"/>
  <c r="C20" i="38" l="1"/>
  <c r="C15" i="38"/>
  <c r="C17" i="38"/>
  <c r="C18" i="38"/>
  <c r="C19" i="38"/>
  <c r="G35" i="29" l="1"/>
  <c r="I43" i="29"/>
  <c r="H43" i="29"/>
  <c r="E43" i="29"/>
  <c r="E67" i="32"/>
  <c r="H285" i="37"/>
  <c r="H284" i="37" s="1"/>
  <c r="H283" i="37" s="1"/>
  <c r="H282" i="37" s="1"/>
  <c r="H124" i="37"/>
  <c r="H121" i="37"/>
  <c r="H119" i="37"/>
  <c r="H118" i="37"/>
  <c r="H115" i="37"/>
  <c r="H111" i="37"/>
  <c r="H109" i="37"/>
  <c r="H107" i="37"/>
  <c r="H104" i="37"/>
  <c r="H102" i="37"/>
  <c r="H100" i="37"/>
  <c r="H98" i="37"/>
  <c r="H80" i="37"/>
  <c r="H78" i="37"/>
  <c r="H76" i="37"/>
  <c r="H74" i="37"/>
  <c r="H72" i="37"/>
  <c r="H70" i="37"/>
  <c r="H64" i="37"/>
  <c r="H61" i="37"/>
  <c r="H60" i="37"/>
  <c r="H59" i="37"/>
  <c r="H57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H83" i="37"/>
  <c r="H84" i="37"/>
  <c r="H85" i="37"/>
  <c r="H87" i="37"/>
  <c r="F284" i="37"/>
  <c r="F283" i="37" s="1"/>
  <c r="F279" i="37"/>
  <c r="F278" i="37" s="1"/>
  <c r="F277" i="37" s="1"/>
  <c r="F270" i="37"/>
  <c r="F268" i="37"/>
  <c r="F267" i="37" s="1"/>
  <c r="F261" i="37"/>
  <c r="F260" i="37" s="1"/>
  <c r="F256" i="37"/>
  <c r="F255" i="37" s="1"/>
  <c r="F253" i="37"/>
  <c r="F247" i="37"/>
  <c r="F239" i="37"/>
  <c r="F238" i="37" s="1"/>
  <c r="F237" i="37" s="1"/>
  <c r="F228" i="37"/>
  <c r="F227" i="37" s="1"/>
  <c r="F218" i="37"/>
  <c r="F215" i="37"/>
  <c r="F213" i="37"/>
  <c r="F210" i="37"/>
  <c r="F209" i="37" s="1"/>
  <c r="F206" i="37"/>
  <c r="F202" i="37"/>
  <c r="F197" i="37"/>
  <c r="F195" i="37"/>
  <c r="F193" i="37"/>
  <c r="F191" i="37"/>
  <c r="F189" i="37"/>
  <c r="F187" i="37"/>
  <c r="F184" i="37"/>
  <c r="F182" i="37"/>
  <c r="F177" i="37"/>
  <c r="F175" i="37"/>
  <c r="F174" i="37" s="1"/>
  <c r="F164" i="37"/>
  <c r="F161" i="37"/>
  <c r="F159" i="37"/>
  <c r="F158" i="37"/>
  <c r="F157" i="37" s="1"/>
  <c r="F156" i="37"/>
  <c r="F155" i="37" s="1"/>
  <c r="F152" i="37"/>
  <c r="F150" i="37"/>
  <c r="F146" i="37"/>
  <c r="F145" i="37"/>
  <c r="F144" i="37" s="1"/>
  <c r="F143" i="37"/>
  <c r="F142" i="37"/>
  <c r="F141" i="37"/>
  <c r="F140" i="37" s="1"/>
  <c r="F134" i="37"/>
  <c r="F132" i="37"/>
  <c r="F130" i="37"/>
  <c r="F127" i="37"/>
  <c r="F125" i="37"/>
  <c r="F123" i="37"/>
  <c r="F117" i="37"/>
  <c r="F116" i="37" s="1"/>
  <c r="F114" i="37"/>
  <c r="H114" i="37" s="1"/>
  <c r="F110" i="37"/>
  <c r="F108" i="37"/>
  <c r="F106" i="37"/>
  <c r="F103" i="37"/>
  <c r="F101" i="37"/>
  <c r="F99" i="37"/>
  <c r="F97" i="37"/>
  <c r="F86" i="37"/>
  <c r="F82" i="37"/>
  <c r="F79" i="37"/>
  <c r="F77" i="37"/>
  <c r="F75" i="37"/>
  <c r="F73" i="37"/>
  <c r="F71" i="37"/>
  <c r="F69" i="37"/>
  <c r="H69" i="37" s="1"/>
  <c r="F63" i="37"/>
  <c r="F62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I45" i="37" l="1"/>
  <c r="I44" i="37" s="1"/>
  <c r="I43" i="37" s="1"/>
  <c r="I12" i="37" s="1"/>
  <c r="F212" i="37"/>
  <c r="F34" i="37"/>
  <c r="F81" i="37"/>
  <c r="F163" i="37"/>
  <c r="F246" i="37"/>
  <c r="F245" i="37" s="1"/>
  <c r="F68" i="37"/>
  <c r="F67" i="37" s="1"/>
  <c r="F113" i="37"/>
  <c r="F112" i="37" s="1"/>
  <c r="F282" i="37"/>
  <c r="D67" i="32"/>
  <c r="G67" i="32"/>
  <c r="C25" i="38" s="1"/>
  <c r="F122" i="37"/>
  <c r="F186" i="37"/>
  <c r="F105" i="37"/>
  <c r="F176" i="37"/>
  <c r="H67" i="32"/>
  <c r="K285" i="37"/>
  <c r="K284" i="37" s="1"/>
  <c r="K283" i="37" s="1"/>
  <c r="K282" i="37" s="1"/>
  <c r="F43" i="37"/>
  <c r="F23" i="37"/>
  <c r="F88" i="37"/>
  <c r="F154" i="37"/>
  <c r="F139" i="37"/>
  <c r="J45" i="37" l="1"/>
  <c r="J44" i="37" s="1"/>
  <c r="J43" i="37" s="1"/>
  <c r="J12" i="37" s="1"/>
  <c r="F66" i="37"/>
  <c r="F138" i="37"/>
  <c r="M12" i="37" l="1"/>
  <c r="M14" i="37" s="1"/>
  <c r="H243" i="37"/>
  <c r="M237" i="37" l="1"/>
  <c r="M245" i="37" l="1"/>
  <c r="M138" i="37"/>
  <c r="H262" i="37" l="1"/>
  <c r="F14" i="37"/>
  <c r="G14" i="37"/>
  <c r="K262" i="37" l="1"/>
  <c r="G13" i="37"/>
  <c r="F13" i="37"/>
  <c r="G12" i="37" l="1"/>
  <c r="F12" i="37"/>
  <c r="F10" i="37" s="1"/>
  <c r="G10" i="37" l="1"/>
  <c r="K59" i="37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75" i="37"/>
  <c r="H174" i="37" s="1"/>
  <c r="E24" i="32"/>
  <c r="H24" i="32"/>
  <c r="D24" i="32"/>
  <c r="E44" i="32"/>
  <c r="G44" i="32"/>
  <c r="H44" i="32"/>
  <c r="E42" i="32"/>
  <c r="H42" i="32"/>
  <c r="D42" i="32"/>
  <c r="D44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C21" i="38" s="1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75" i="37"/>
  <c r="K174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3" i="37"/>
  <c r="H62" i="37" s="1"/>
  <c r="K70" i="37"/>
  <c r="H71" i="37"/>
  <c r="H73" i="37"/>
  <c r="H75" i="37"/>
  <c r="H77" i="37"/>
  <c r="H79" i="37"/>
  <c r="K84" i="37"/>
  <c r="K85" i="37"/>
  <c r="H86" i="37"/>
  <c r="H90" i="37"/>
  <c r="H92" i="37"/>
  <c r="H94" i="37"/>
  <c r="H96" i="37"/>
  <c r="H97" i="37"/>
  <c r="H99" i="37"/>
  <c r="H101" i="37"/>
  <c r="H103" i="37"/>
  <c r="H106" i="37"/>
  <c r="H108" i="37"/>
  <c r="H110" i="37"/>
  <c r="K115" i="37"/>
  <c r="K119" i="37"/>
  <c r="H120" i="37"/>
  <c r="H123" i="37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2" i="37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H280" i="37"/>
  <c r="H279" i="37" s="1"/>
  <c r="H278" i="37" s="1"/>
  <c r="H277" i="37" s="1"/>
  <c r="H14" i="37"/>
  <c r="H95" i="37" l="1"/>
  <c r="I96" i="37"/>
  <c r="I95" i="37" s="1"/>
  <c r="H93" i="37"/>
  <c r="I94" i="37"/>
  <c r="I93" i="37" s="1"/>
  <c r="H91" i="37"/>
  <c r="H88" i="37" s="1"/>
  <c r="I92" i="37"/>
  <c r="I91" i="37" s="1"/>
  <c r="H89" i="37"/>
  <c r="I90" i="37"/>
  <c r="I89" i="37" s="1"/>
  <c r="H221" i="37"/>
  <c r="C16" i="38"/>
  <c r="C12" i="38"/>
  <c r="H237" i="37"/>
  <c r="H228" i="37"/>
  <c r="H227" i="37" s="1"/>
  <c r="H215" i="37"/>
  <c r="H206" i="37"/>
  <c r="H170" i="37"/>
  <c r="H163" i="37" s="1"/>
  <c r="H134" i="37"/>
  <c r="H127" i="37"/>
  <c r="H58" i="37"/>
  <c r="H35" i="37"/>
  <c r="H27" i="37"/>
  <c r="H18" i="37"/>
  <c r="H13" i="37"/>
  <c r="H255" i="37"/>
  <c r="H202" i="37"/>
  <c r="H231" i="37"/>
  <c r="H224" i="37"/>
  <c r="H218" i="37"/>
  <c r="H267" i="37"/>
  <c r="H197" i="37"/>
  <c r="H154" i="37"/>
  <c r="H113" i="37"/>
  <c r="H112" i="37" s="1"/>
  <c r="H249" i="37"/>
  <c r="H246" i="37" s="1"/>
  <c r="H177" i="37"/>
  <c r="H176" i="37" s="1"/>
  <c r="H117" i="37"/>
  <c r="H116" i="37" s="1"/>
  <c r="H105" i="37"/>
  <c r="H139" i="37"/>
  <c r="H48" i="37"/>
  <c r="H68" i="37"/>
  <c r="H67" i="37" s="1"/>
  <c r="H82" i="37"/>
  <c r="H38" i="37"/>
  <c r="H24" i="37"/>
  <c r="I42" i="32"/>
  <c r="E29" i="32"/>
  <c r="E19" i="32"/>
  <c r="F19" i="32" s="1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90" i="37"/>
  <c r="K89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4" i="37"/>
  <c r="K113" i="37" s="1"/>
  <c r="K112" i="37" s="1"/>
  <c r="K104" i="37"/>
  <c r="K103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3" i="37"/>
  <c r="K132" i="37" s="1"/>
  <c r="K128" i="37"/>
  <c r="K127" i="37" s="1"/>
  <c r="K111" i="37"/>
  <c r="K110" i="37" s="1"/>
  <c r="K102" i="37"/>
  <c r="K101" i="37" s="1"/>
  <c r="K94" i="37"/>
  <c r="K93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250" i="37"/>
  <c r="K249" i="37" s="1"/>
  <c r="K222" i="37"/>
  <c r="K221" i="37" s="1"/>
  <c r="K188" i="37"/>
  <c r="K187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A3" i="20"/>
  <c r="B5" i="19"/>
  <c r="A4" i="48"/>
  <c r="B5" i="47"/>
  <c r="B18" i="48"/>
  <c r="C18" i="48"/>
  <c r="B33" i="48"/>
  <c r="C33" i="48"/>
  <c r="C35" i="48" s="1"/>
  <c r="B35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J90" i="37" l="1"/>
  <c r="J89" i="37" s="1"/>
  <c r="J88" i="37" s="1"/>
  <c r="J92" i="37"/>
  <c r="J91" i="37" s="1"/>
  <c r="J94" i="37"/>
  <c r="J93" i="37" s="1"/>
  <c r="J96" i="37"/>
  <c r="J95" i="37" s="1"/>
  <c r="K92" i="37"/>
  <c r="K91" i="37" s="1"/>
  <c r="I88" i="37"/>
  <c r="K96" i="37"/>
  <c r="K95" i="37" s="1"/>
  <c r="H245" i="37"/>
  <c r="C11" i="38"/>
  <c r="F29" i="32"/>
  <c r="H186" i="37"/>
  <c r="H43" i="37"/>
  <c r="H34" i="37"/>
  <c r="H122" i="37"/>
  <c r="K116" i="37"/>
  <c r="K237" i="37"/>
  <c r="H212" i="37"/>
  <c r="K255" i="37"/>
  <c r="K163" i="37"/>
  <c r="K139" i="37"/>
  <c r="K186" i="37"/>
  <c r="K81" i="37"/>
  <c r="K231" i="37"/>
  <c r="K246" i="37"/>
  <c r="K105" i="37"/>
  <c r="K154" i="37"/>
  <c r="K122" i="37"/>
  <c r="K176" i="37"/>
  <c r="K43" i="37"/>
  <c r="K34" i="37"/>
  <c r="K212" i="37"/>
  <c r="K267" i="37"/>
  <c r="K67" i="37"/>
  <c r="H81" i="37"/>
  <c r="H23" i="37"/>
  <c r="F17" i="32"/>
  <c r="F13" i="32"/>
  <c r="F12" i="32"/>
  <c r="F14" i="32"/>
  <c r="F15" i="32"/>
  <c r="K18" i="37"/>
  <c r="F49" i="32"/>
  <c r="D48" i="32"/>
  <c r="K23" i="37"/>
  <c r="K13" i="37"/>
  <c r="D33" i="47"/>
  <c r="F33" i="47"/>
  <c r="H19" i="47"/>
  <c r="H33" i="47" s="1"/>
  <c r="J66" i="37" l="1"/>
  <c r="J10" i="37" s="1"/>
  <c r="H22" i="32"/>
  <c r="K88" i="37"/>
  <c r="K66" i="37" s="1"/>
  <c r="I66" i="37"/>
  <c r="G22" i="32"/>
  <c r="K245" i="37"/>
  <c r="H66" i="37"/>
  <c r="H138" i="37"/>
  <c r="K138" i="37"/>
  <c r="H12" i="37"/>
  <c r="K12" i="37"/>
  <c r="B6" i="33"/>
  <c r="B5" i="32"/>
  <c r="B3" i="29"/>
  <c r="B5" i="31" s="1"/>
  <c r="M66" i="37" l="1"/>
  <c r="M68" i="37" s="1"/>
  <c r="I10" i="37"/>
  <c r="H10" i="37"/>
  <c r="K10" i="37"/>
  <c r="C15" i="40" l="1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J18" i="29"/>
  <c r="G18" i="29"/>
  <c r="J17" i="29"/>
  <c r="G17" i="29"/>
  <c r="J14" i="29"/>
  <c r="G14" i="29"/>
  <c r="J13" i="29"/>
  <c r="G13" i="29"/>
  <c r="J12" i="29"/>
  <c r="G12" i="29"/>
  <c r="J11" i="29"/>
  <c r="G11" i="29"/>
  <c r="J42" i="29" l="1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I31" i="33"/>
  <c r="J16" i="29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E34" i="20"/>
  <c r="D34" i="20"/>
  <c r="G27" i="19" l="1"/>
  <c r="G35" i="19"/>
  <c r="I11" i="31"/>
  <c r="I41" i="19"/>
  <c r="H41" i="19"/>
  <c r="F41" i="19"/>
  <c r="G23" i="19"/>
  <c r="J23" i="19" s="1"/>
  <c r="J35" i="19"/>
  <c r="E10" i="20"/>
  <c r="E18" i="20" s="1"/>
  <c r="E22" i="20" s="1"/>
  <c r="E26" i="20" s="1"/>
  <c r="J11" i="19"/>
  <c r="D10" i="20"/>
  <c r="D18" i="20" s="1"/>
  <c r="D22" i="20" s="1"/>
  <c r="D26" i="20" s="1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<sst xmlns="http://schemas.openxmlformats.org/spreadsheetml/2006/main" count="921" uniqueCount="579">
  <si>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</si>
  <si>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</si>
  <si>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</si>
  <si>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</si>
  <si>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</si>
  <si>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</si>
  <si>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</si>
  <si>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</si>
  <si>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</si>
  <si>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</si>
  <si>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</si>
  <si>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</si>
  <si>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</si>
  <si>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</si>
  <si>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</si>
  <si>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</si>
  <si>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</si>
  <si>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</si>
  <si>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</si>
  <si>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</si>
  <si>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</si>
  <si>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</si>
  <si>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</si>
  <si>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</si>
  <si>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</si>
  <si>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</si>
  <si>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</si>
  <si>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</si>
  <si>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</si>
  <si>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</si>
  <si>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</si>
  <si>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</si>
  <si>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</si>
  <si>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</si>
  <si>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</si>
  <si>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</si>
  <si>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</si>
  <si>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</si>
  <si>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</si>
  <si>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</si>
  <si>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</si>
  <si>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</si>
  <si>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</si>
  <si>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</si>
  <si>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</si>
  <si>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</si>
  <si>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</si>
  <si>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</si>
  <si>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</si>
  <si>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</si>
  <si>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</si>
  <si>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</si>
  <si>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</si>
  <si>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</si>
  <si>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</si>
  <si>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</si>
  <si>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</si>
  <si>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</si>
  <si>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</si>
  <si>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</si>
  <si>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</si>
  <si>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</si>
  <si>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</si>
  <si>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</si>
  <si>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</si>
  <si>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</si>
  <si>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</si>
  <si>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</si>
  <si>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</si>
  <si>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</si>
  <si>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</si>
  <si>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</si>
  <si>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</si>
  <si>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</si>
  <si>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</si>
  <si>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</si>
  <si>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</si>
  <si>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</si>
  <si>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</si>
  <si>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</si>
  <si>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</si>
  <si>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</si>
  <si>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</si>
  <si>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</si>
  <si>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</si>
  <si>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</si>
  <si>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</si>
  <si>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</si>
  <si>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</si>
  <si>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</si>
  <si>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</si>
  <si>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</si>
  <si>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</si>
  <si>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</si>
  <si>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</si>
  <si>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</si>
  <si>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</si>
  <si>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</si>
  <si>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</si>
  <si>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</si>
  <si>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</si>
  <si>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</si>
  <si>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</si>
  <si>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</si>
  <si>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</si>
  <si>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</si>
  <si>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</si>
  <si>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</si>
  <si>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</si>
  <si>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</si>
  <si>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</si>
  <si>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</si>
  <si>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</si>
  <si>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</si>
  <si>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</si>
  <si>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</si>
  <si>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</si>
  <si>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</si>
  <si>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</si>
  <si>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</si>
  <si>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</si>
  <si>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</si>
  <si>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</si>
  <si>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</si>
  <si>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</si>
  <si>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</si>
  <si>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</si>
  <si>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</si>
  <si>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</si>
  <si>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</si>
  <si>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</si>
  <si>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</si>
  <si>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</si>
  <si>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</si>
  <si>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</si>
  <si>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</si>
  <si>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</si>
  <si>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</si>
  <si>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</si>
  <si>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</si>
  <si>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</si>
  <si>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</si>
  <si>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</si>
  <si>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</si>
  <si>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</si>
  <si>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</si>
  <si>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</si>
  <si>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</si>
  <si>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</si>
  <si>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</si>
  <si>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</si>
  <si>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</si>
  <si>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</si>
  <si>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</si>
  <si>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</si>
  <si>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</si>
  <si>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</si>
  <si>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</si>
  <si>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</si>
  <si>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</si>
  <si>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</si>
  <si>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</si>
  <si>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</si>
  <si>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</si>
  <si>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</si>
  <si>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</si>
  <si>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</si>
  <si>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</si>
  <si>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</si>
  <si>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</si>
  <si>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</si>
  <si>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</si>
  <si>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</si>
  <si>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</si>
  <si>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</si>
  <si>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</si>
  <si>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</si>
  <si>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</si>
  <si>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</si>
  <si>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</si>
  <si>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</si>
  <si>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</si>
  <si>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</si>
  <si>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</si>
  <si>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</si>
  <si>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</si>
  <si>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</si>
  <si>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</si>
  <si>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</si>
  <si>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</si>
  <si>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</si>
  <si>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</si>
  <si>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</si>
  <si>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</si>
  <si>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</si>
  <si>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</si>
  <si>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</si>
  <si>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</si>
  <si>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</si>
  <si>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</si>
  <si>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</si>
  <si>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</si>
  <si>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</si>
  <si>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</si>
  <si>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</si>
  <si>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</si>
  <si>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</si>
  <si>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</si>
  <si>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</si>
  <si>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</si>
  <si>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</si>
  <si>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</si>
  <si>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</si>
  <si>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</si>
  <si>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</si>
  <si>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</si>
  <si>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</si>
  <si>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</si>
  <si>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</si>
  <si>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</si>
  <si>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</si>
  <si>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</si>
  <si>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</si>
  <si>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</si>
  <si>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</si>
  <si>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</si>
  <si>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</si>
  <si>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</si>
  <si>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</si>
  <si>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</si>
  <si>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</si>
  <si>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</si>
  <si>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</si>
  <si>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</si>
  <si>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</si>
  <si>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</si>
  <si>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</si>
  <si>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</si>
  <si>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</si>
  <si>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</si>
  <si>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</si>
  <si>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</si>
  <si>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</si>
  <si>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</si>
  <si>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</si>
  <si>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</si>
  <si>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</si>
  <si>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</si>
  <si>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</si>
  <si>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</si>
  <si>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</si>
  <si>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</si>
  <si>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</si>
  <si>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</si>
  <si>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</si>
  <si>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</si>
  <si>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</si>
  <si>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</si>
  <si>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</si>
  <si>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</si>
  <si>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</si>
  <si>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</si>
  <si>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</si>
  <si>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</si>
  <si>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</si>
  <si>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</si>
  <si>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</si>
  <si>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</si>
  <si>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</si>
  <si>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</si>
  <si>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</si>
  <si>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</si>
  <si>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</si>
  <si>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</si>
  <si>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</si>
  <si>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</si>
  <si>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</si>
  <si>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</si>
  <si>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</si>
  <si>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</si>
  <si>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</si>
  <si>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</si>
  <si>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</si>
  <si>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</si>
  <si>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</si>
  <si>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</si>
  <si>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</si>
  <si>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</si>
  <si>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</si>
  <si>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</si>
  <si>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</si>
  <si>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No Aplica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</si>
  <si>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</si>
  <si>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</si>
  <si>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</si>
  <si>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</si>
  <si>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</si>
  <si>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</si>
  <si>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</si>
  <si>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</si>
  <si>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</si>
  <si>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</si>
  <si>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</si>
  <si>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</si>
  <si>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</si>
  <si>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</si>
  <si>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</si>
  <si>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</si>
  <si>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</si>
  <si>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</si>
  <si>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</si>
  <si>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</si>
  <si>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</si>
  <si>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</si>
  <si>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</si>
  <si>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</si>
  <si>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</si>
  <si>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</si>
  <si>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</si>
  <si>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</si>
  <si>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</si>
  <si>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</si>
  <si>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</si>
  <si>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</si>
  <si>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</si>
  <si>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</si>
  <si>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</si>
  <si>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</si>
  <si>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</si>
  <si>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</si>
  <si>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</si>
  <si>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</si>
  <si>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</si>
  <si>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</si>
  <si>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</si>
  <si>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</si>
  <si>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</si>
  <si>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</si>
  <si>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</si>
  <si>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</si>
  <si>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</si>
  <si>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</si>
  <si>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</si>
  <si>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</si>
  <si>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</si>
  <si>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</si>
  <si>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</si>
  <si>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</si>
  <si>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</si>
  <si>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</si>
  <si>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</si>
  <si>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</si>
  <si>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</si>
  <si>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</si>
  <si>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</si>
  <si>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</si>
  <si>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</si>
  <si>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</si>
  <si>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</si>
  <si>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</si>
  <si>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</si>
  <si>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</si>
  <si>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</si>
  <si>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</si>
  <si>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</si>
  <si>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</si>
  <si>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</si>
  <si>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</si>
  <si>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</si>
  <si>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</si>
  <si>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</si>
  <si>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</si>
  <si>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</si>
  <si>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</si>
  <si>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</si>
  <si>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</si>
  <si>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</si>
  <si>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</si>
  <si>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</si>
  <si>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</si>
  <si>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</si>
  <si>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</si>
  <si>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</si>
  <si>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</si>
  <si>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</si>
  <si>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</si>
  <si>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</si>
  <si>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</si>
  <si>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</si>
  <si>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</si>
  <si>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</si>
  <si>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</si>
  <si>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</si>
  <si>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</si>
  <si>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</si>
  <si>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</si>
  <si>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</si>
  <si>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</si>
  <si>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</si>
  <si>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</si>
  <si>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</si>
  <si>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</si>
  <si>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</si>
  <si>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</si>
  <si>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</si>
  <si>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</si>
  <si>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</si>
  <si>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</si>
  <si>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</si>
  <si>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</si>
  <si>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</si>
  <si>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</si>
  <si>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</si>
  <si>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</si>
  <si>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</si>
  <si>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</si>
  <si>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</si>
  <si>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</si>
  <si>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</si>
  <si>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</si>
  <si>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</si>
  <si>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</si>
  <si>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</si>
  <si>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</si>
  <si>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</si>
  <si>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</si>
  <si>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</si>
  <si>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</si>
  <si>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</si>
  <si>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</si>
  <si>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</si>
  <si>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</si>
  <si>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</si>
  <si>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</si>
  <si>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</si>
  <si>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</si>
  <si>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</si>
  <si>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</si>
  <si>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</si>
  <si>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</si>
  <si>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</si>
  <si>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</si>
  <si>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</si>
  <si>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</si>
  <si>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</si>
  <si>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</si>
  <si>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</si>
  <si>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</si>
  <si>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</si>
  <si>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</si>
  <si>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</si>
  <si>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</si>
  <si>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</si>
  <si>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</si>
  <si>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</si>
  <si>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</si>
  <si>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</si>
  <si>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</si>
  <si>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</si>
  <si>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</si>
  <si>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</si>
  <si>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</si>
  <si>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</si>
  <si>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</si>
  <si>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</si>
  <si>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</si>
  <si>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</si>
  <si>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</si>
  <si>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</si>
  <si>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</si>
  <si>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</si>
  <si>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</si>
  <si>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</si>
  <si>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</si>
  <si>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</si>
  <si>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</si>
  <si>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</si>
  <si>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</si>
  <si>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</si>
  <si>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</si>
  <si>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</si>
  <si>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</si>
  <si>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</si>
  <si>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</si>
  <si>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</si>
  <si>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</si>
  <si>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</si>
  <si>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</si>
  <si>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</si>
  <si>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</si>
  <si>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</si>
  <si>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</si>
  <si>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</si>
  <si>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</si>
  <si>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</si>
  <si>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</si>
  <si>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</si>
  <si>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</si>
  <si>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</si>
  <si>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</si>
  <si>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</si>
  <si>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</si>
  <si>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</si>
  <si>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</si>
  <si>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</si>
  <si>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</si>
  <si>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</si>
  <si>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</si>
  <si>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</si>
  <si>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</si>
  <si>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</si>
  <si>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</si>
  <si>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</si>
  <si>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</si>
  <si>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</si>
  <si>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</si>
  <si>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</si>
  <si>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</si>
  <si>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</si>
  <si>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</si>
  <si>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</si>
  <si>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</si>
  <si>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</si>
  <si>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</si>
  <si>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</si>
  <si>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</si>
  <si>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</si>
  <si>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</si>
  <si>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</si>
  <si>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</si>
  <si>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</si>
  <si>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</si>
  <si>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</si>
  <si>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</si>
  <si>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</si>
  <si>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</si>
  <si>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</si>
  <si>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</si>
  <si>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</si>
  <si>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</si>
  <si>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</si>
  <si>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</si>
  <si>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</si>
  <si>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</si>
  <si>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</si>
  <si>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</si>
  <si>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</si>
  <si>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</si>
  <si>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</si>
  <si>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</si>
  <si>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</si>
  <si>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</si>
  <si>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</si>
  <si>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</si>
  <si>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</si>
  <si>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</si>
  <si>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</si>
  <si>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</si>
  <si>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</si>
  <si>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</si>
  <si>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</si>
  <si>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</si>
  <si>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</si>
  <si>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</si>
  <si>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</si>
  <si>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</si>
  <si>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</si>
  <si>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</si>
  <si>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</si>
  <si>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</si>
  <si>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</si>
  <si>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</si>
  <si>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</si>
  <si>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</si>
  <si>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</si>
  <si>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</si>
  <si>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31 de diciembre de 2019</t>
  </si>
  <si>
    <t>Correspondiente del 1 de enero al 31 de diciembre de 2019</t>
  </si>
  <si>
    <t>c x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</si>
</sst>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  <numFmt numFmtId="173" formatCode="#,##0.0_ ;[Red]\-#,##0.0\ "/>
  </numFmts>
  <fonts count="4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169" fontId="27" fillId="0" borderId="0" xfId="0" applyNumberFormat="1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wrapText="1" indent="1"/>
    </xf>
    <xf numFmtId="0" fontId="28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38" fontId="31" fillId="0" borderId="0" xfId="0" applyNumberFormat="1" applyFont="1"/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4" xfId="0" applyNumberFormat="1" applyFont="1" applyFill="1" applyBorder="1" applyAlignment="1">
      <alignment horizontal="center" vertical="center"/>
    </xf>
    <xf numFmtId="40" fontId="28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8" fillId="0" borderId="50" xfId="0" applyNumberFormat="1" applyFont="1" applyFill="1" applyBorder="1" applyAlignment="1">
      <alignment horizontal="center" vertical="center"/>
    </xf>
    <xf numFmtId="40" fontId="28" fillId="0" borderId="51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0" fontId="0" fillId="0" borderId="40" xfId="0" applyNumberFormat="1" applyFont="1" applyBorder="1" applyAlignment="1" applyProtection="1">
      <alignment vertical="top"/>
      <protection locked="0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58" xfId="0" applyFont="1" applyFill="1" applyBorder="1" applyAlignment="1">
      <alignment horizontal="left" vertical="center" wrapText="1" indent="1"/>
    </xf>
    <xf numFmtId="40" fontId="28" fillId="0" borderId="56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169" fontId="0" fillId="0" borderId="0" xfId="0" applyNumberFormat="1"/>
    <xf numFmtId="40" fontId="0" fillId="0" borderId="0" xfId="0" applyNumberFormat="1"/>
    <xf numFmtId="40" fontId="0" fillId="0" borderId="59" xfId="0" applyNumberFormat="1" applyFont="1" applyBorder="1" applyAlignment="1" applyProtection="1">
      <alignment vertical="top"/>
      <protection locked="0"/>
    </xf>
    <xf numFmtId="0" fontId="0" fillId="0" borderId="0" xfId="0" applyFont="1" applyFill="1" applyBorder="1" applyAlignmen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/>
    <xf numFmtId="40" fontId="13" fillId="8" borderId="1" xfId="0" applyNumberFormat="1" applyFont="1" applyFill="1" applyBorder="1" applyAlignment="1" applyProtection="1">
      <alignment vertical="top"/>
      <protection locked="0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0" fillId="0" borderId="65" xfId="0" applyNumberFormat="1" applyFont="1" applyBorder="1" applyAlignment="1" applyProtection="1">
      <alignment vertical="top"/>
      <protection locked="0"/>
    </xf>
    <xf numFmtId="40" fontId="13" fillId="9" borderId="66" xfId="0" applyNumberFormat="1" applyFont="1" applyFill="1" applyBorder="1" applyAlignment="1" applyProtection="1">
      <alignment vertical="top"/>
    </xf>
    <xf numFmtId="40" fontId="0" fillId="0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40" fontId="13" fillId="8" borderId="66" xfId="0" applyNumberFormat="1" applyFont="1" applyFill="1" applyBorder="1" applyAlignment="1" applyProtection="1">
      <alignment vertical="top"/>
      <protection locked="0"/>
    </xf>
    <xf numFmtId="40" fontId="0" fillId="9" borderId="66" xfId="0" applyNumberFormat="1" applyFont="1" applyFill="1" applyBorder="1" applyAlignment="1" applyProtection="1">
      <alignment vertical="top"/>
      <protection locked="0"/>
    </xf>
    <xf numFmtId="40" fontId="13" fillId="0" borderId="67" xfId="0" applyNumberFormat="1" applyFont="1" applyFill="1" applyBorder="1" applyAlignment="1" applyProtection="1">
      <alignment vertical="top"/>
      <protection locked="0"/>
    </xf>
    <xf numFmtId="0" fontId="0" fillId="0" borderId="68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Border="1" applyAlignment="1" applyProtection="1">
      <alignment vertical="top"/>
      <protection locked="0"/>
    </xf>
    <xf numFmtId="40" fontId="0" fillId="0" borderId="69" xfId="0" applyNumberFormat="1" applyFont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7" xfId="0" applyFont="1" applyFill="1" applyBorder="1"/>
    <xf numFmtId="0" fontId="27" fillId="0" borderId="25" xfId="0" applyFont="1" applyFill="1" applyBorder="1"/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8" fillId="0" borderId="45" xfId="0" applyFont="1" applyFill="1" applyBorder="1" applyAlignment="1">
      <alignment horizontal="left" vertical="center" indent="1"/>
    </xf>
    <xf numFmtId="0" fontId="28" fillId="0" borderId="46" xfId="0" applyFont="1" applyFill="1" applyBorder="1" applyAlignment="1">
      <alignment horizontal="left" vertical="center" indent="1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1" fillId="4" borderId="0" xfId="0" applyFont="1" applyFill="1" applyAlignment="1">
      <alignment horizontal="left" wrapText="1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16" xfId="3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9" fillId="11" borderId="60" xfId="0" applyFont="1" applyFill="1" applyBorder="1" applyAlignment="1">
      <alignment horizontal="center" vertical="center"/>
    </xf>
    <xf numFmtId="0" fontId="29" fillId="11" borderId="63" xfId="0" applyFont="1" applyFill="1" applyBorder="1" applyAlignment="1">
      <alignment horizontal="center" vertical="center"/>
    </xf>
    <xf numFmtId="0" fontId="29" fillId="11" borderId="61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2" xfId="0" applyFont="1" applyFill="1" applyBorder="1" applyAlignment="1">
      <alignment horizontal="center" vertical="center" wrapText="1"/>
    </xf>
    <xf numFmtId="0" fontId="14" fillId="11" borderId="6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100">
              <a:latin typeface="+mn-lt"/>
              <a:cs typeface="Arial" pitchFamily="34" charset="0"/>
            </a:rPr>
            <a:t>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8" name="7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238125</xdr:colOff>
      <xdr:row>290</xdr:row>
      <xdr:rowOff>180975</xdr:rowOff>
    </xdr:from>
    <xdr:to>
      <xdr:col>4</xdr:col>
      <xdr:colOff>66675</xdr:colOff>
      <xdr:row>296</xdr:row>
      <xdr:rowOff>66675</xdr:rowOff>
    </xdr:to>
    <xdr:sp macro="" textlink="">
      <xdr:nvSpPr>
        <xdr:cNvPr id="6" name="5 CuadroTexto"/>
        <xdr:cNvSpPr txBox="1"/>
      </xdr:nvSpPr>
      <xdr:spPr>
        <a:xfrm>
          <a:off x="238125" y="67865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 Consejero Presidente </a:t>
          </a:r>
          <a:r>
            <a:rPr lang="es-MX" sz="1000">
              <a:latin typeface="Arial" pitchFamily="34" charset="0"/>
              <a:cs typeface="Arial" pitchFamily="34" charset="0"/>
            </a:rPr>
            <a:t>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+mn-lt"/>
              <a:cs typeface="Arial" pitchFamily="34" charset="0"/>
            </a:rPr>
            <a:t>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9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03" t="s">
        <v>0</v>
      </c>
      <c r="B2" s="303"/>
      <c r="C2" s="303"/>
      <c r="D2" s="303"/>
      <c r="E2" s="13" t="e">
        <f>#REF!</f>
        <v>#REF!</v>
      </c>
    </row>
    <row r="3" spans="1:5" x14ac:dyDescent="0.25">
      <c r="A3" s="303" t="s">
        <v>2</v>
      </c>
      <c r="B3" s="303"/>
      <c r="C3" s="303"/>
      <c r="D3" s="303"/>
      <c r="E3" s="13" t="e">
        <f>#REF!</f>
        <v>#REF!</v>
      </c>
    </row>
    <row r="4" spans="1:5" x14ac:dyDescent="0.25">
      <c r="A4" s="303" t="s">
        <v>1</v>
      </c>
      <c r="B4" s="303"/>
      <c r="C4" s="303"/>
      <c r="D4" s="303"/>
      <c r="E4" s="14"/>
    </row>
    <row r="5" spans="1:5" x14ac:dyDescent="0.25">
      <c r="A5" s="303" t="s">
        <v>70</v>
      </c>
      <c r="B5" s="303"/>
      <c r="C5" s="303"/>
      <c r="D5" s="303"/>
      <c r="E5" t="s">
        <v>68</v>
      </c>
    </row>
    <row r="6" spans="1:5" x14ac:dyDescent="0.25">
      <c r="A6" s="6"/>
      <c r="B6" s="6"/>
      <c r="C6" s="298" t="s">
        <v>3</v>
      </c>
      <c r="D6" s="298"/>
      <c r="E6" s="1">
        <v>2013</v>
      </c>
    </row>
    <row r="7" spans="1:5" x14ac:dyDescent="0.25">
      <c r="A7" s="294" t="s">
        <v>66</v>
      </c>
      <c r="B7" s="295" t="s">
        <v>6</v>
      </c>
      <c r="C7" s="296" t="s">
        <v>8</v>
      </c>
      <c r="D7" s="296"/>
      <c r="E7" s="8" t="e">
        <f>#REF!</f>
        <v>#REF!</v>
      </c>
    </row>
    <row r="8" spans="1:5" x14ac:dyDescent="0.25">
      <c r="A8" s="294"/>
      <c r="B8" s="295"/>
      <c r="C8" s="296" t="s">
        <v>10</v>
      </c>
      <c r="D8" s="296"/>
      <c r="E8" s="8" t="e">
        <f>#REF!</f>
        <v>#REF!</v>
      </c>
    </row>
    <row r="9" spans="1:5" x14ac:dyDescent="0.25">
      <c r="A9" s="294"/>
      <c r="B9" s="295"/>
      <c r="C9" s="296" t="s">
        <v>12</v>
      </c>
      <c r="D9" s="296"/>
      <c r="E9" s="8" t="e">
        <f>#REF!</f>
        <v>#REF!</v>
      </c>
    </row>
    <row r="10" spans="1:5" x14ac:dyDescent="0.25">
      <c r="A10" s="294"/>
      <c r="B10" s="295"/>
      <c r="C10" s="296" t="s">
        <v>14</v>
      </c>
      <c r="D10" s="296"/>
      <c r="E10" s="8" t="e">
        <f>#REF!</f>
        <v>#REF!</v>
      </c>
    </row>
    <row r="11" spans="1:5" x14ac:dyDescent="0.25">
      <c r="A11" s="294"/>
      <c r="B11" s="295"/>
      <c r="C11" s="296" t="s">
        <v>16</v>
      </c>
      <c r="D11" s="296"/>
      <c r="E11" s="8" t="e">
        <f>#REF!</f>
        <v>#REF!</v>
      </c>
    </row>
    <row r="12" spans="1:5" x14ac:dyDescent="0.25">
      <c r="A12" s="294"/>
      <c r="B12" s="295"/>
      <c r="C12" s="296" t="s">
        <v>18</v>
      </c>
      <c r="D12" s="296"/>
      <c r="E12" s="8" t="e">
        <f>#REF!</f>
        <v>#REF!</v>
      </c>
    </row>
    <row r="13" spans="1:5" x14ac:dyDescent="0.25">
      <c r="A13" s="294"/>
      <c r="B13" s="295"/>
      <c r="C13" s="296" t="s">
        <v>20</v>
      </c>
      <c r="D13" s="296"/>
      <c r="E13" s="8" t="e">
        <f>#REF!</f>
        <v>#REF!</v>
      </c>
    </row>
    <row r="14" spans="1:5" ht="15.75" thickBot="1" x14ac:dyDescent="0.3">
      <c r="A14" s="294"/>
      <c r="B14" s="4"/>
      <c r="C14" s="297" t="s">
        <v>23</v>
      </c>
      <c r="D14" s="297"/>
      <c r="E14" s="9" t="e">
        <f>#REF!</f>
        <v>#REF!</v>
      </c>
    </row>
    <row r="15" spans="1:5" x14ac:dyDescent="0.25">
      <c r="A15" s="294"/>
      <c r="B15" s="295" t="s">
        <v>25</v>
      </c>
      <c r="C15" s="296" t="s">
        <v>27</v>
      </c>
      <c r="D15" s="296"/>
      <c r="E15" s="8" t="e">
        <f>#REF!</f>
        <v>#REF!</v>
      </c>
    </row>
    <row r="16" spans="1:5" x14ac:dyDescent="0.25">
      <c r="A16" s="294"/>
      <c r="B16" s="295"/>
      <c r="C16" s="296" t="s">
        <v>29</v>
      </c>
      <c r="D16" s="296"/>
      <c r="E16" s="8" t="e">
        <f>#REF!</f>
        <v>#REF!</v>
      </c>
    </row>
    <row r="17" spans="1:5" x14ac:dyDescent="0.25">
      <c r="A17" s="294"/>
      <c r="B17" s="295"/>
      <c r="C17" s="296" t="s">
        <v>31</v>
      </c>
      <c r="D17" s="296"/>
      <c r="E17" s="8" t="e">
        <f>#REF!</f>
        <v>#REF!</v>
      </c>
    </row>
    <row r="18" spans="1:5" x14ac:dyDescent="0.25">
      <c r="A18" s="294"/>
      <c r="B18" s="295"/>
      <c r="C18" s="296" t="s">
        <v>33</v>
      </c>
      <c r="D18" s="296"/>
      <c r="E18" s="8" t="e">
        <f>#REF!</f>
        <v>#REF!</v>
      </c>
    </row>
    <row r="19" spans="1:5" x14ac:dyDescent="0.25">
      <c r="A19" s="294"/>
      <c r="B19" s="295"/>
      <c r="C19" s="296" t="s">
        <v>35</v>
      </c>
      <c r="D19" s="296"/>
      <c r="E19" s="8" t="e">
        <f>#REF!</f>
        <v>#REF!</v>
      </c>
    </row>
    <row r="20" spans="1:5" x14ac:dyDescent="0.25">
      <c r="A20" s="294"/>
      <c r="B20" s="295"/>
      <c r="C20" s="296" t="s">
        <v>37</v>
      </c>
      <c r="D20" s="296"/>
      <c r="E20" s="8" t="e">
        <f>#REF!</f>
        <v>#REF!</v>
      </c>
    </row>
    <row r="21" spans="1:5" x14ac:dyDescent="0.25">
      <c r="A21" s="294"/>
      <c r="B21" s="295"/>
      <c r="C21" s="296" t="s">
        <v>39</v>
      </c>
      <c r="D21" s="296"/>
      <c r="E21" s="8" t="e">
        <f>#REF!</f>
        <v>#REF!</v>
      </c>
    </row>
    <row r="22" spans="1:5" x14ac:dyDescent="0.25">
      <c r="A22" s="294"/>
      <c r="B22" s="295"/>
      <c r="C22" s="296" t="s">
        <v>40</v>
      </c>
      <c r="D22" s="296"/>
      <c r="E22" s="8" t="e">
        <f>#REF!</f>
        <v>#REF!</v>
      </c>
    </row>
    <row r="23" spans="1:5" x14ac:dyDescent="0.25">
      <c r="A23" s="294"/>
      <c r="B23" s="295"/>
      <c r="C23" s="296" t="s">
        <v>42</v>
      </c>
      <c r="D23" s="296"/>
      <c r="E23" s="8" t="e">
        <f>#REF!</f>
        <v>#REF!</v>
      </c>
    </row>
    <row r="24" spans="1:5" ht="15.75" thickBot="1" x14ac:dyDescent="0.3">
      <c r="A24" s="294"/>
      <c r="B24" s="4"/>
      <c r="C24" s="297" t="s">
        <v>44</v>
      </c>
      <c r="D24" s="297"/>
      <c r="E24" s="9" t="e">
        <f>#REF!</f>
        <v>#REF!</v>
      </c>
    </row>
    <row r="25" spans="1:5" ht="15.75" thickBot="1" x14ac:dyDescent="0.3">
      <c r="A25" s="294"/>
      <c r="B25" s="2"/>
      <c r="C25" s="297" t="s">
        <v>46</v>
      </c>
      <c r="D25" s="297"/>
      <c r="E25" s="9" t="e">
        <f>#REF!</f>
        <v>#REF!</v>
      </c>
    </row>
    <row r="26" spans="1:5" x14ac:dyDescent="0.25">
      <c r="A26" s="294" t="s">
        <v>67</v>
      </c>
      <c r="B26" s="295" t="s">
        <v>7</v>
      </c>
      <c r="C26" s="296" t="s">
        <v>9</v>
      </c>
      <c r="D26" s="296"/>
      <c r="E26" s="8" t="e">
        <f>#REF!</f>
        <v>#REF!</v>
      </c>
    </row>
    <row r="27" spans="1:5" x14ac:dyDescent="0.25">
      <c r="A27" s="294"/>
      <c r="B27" s="295"/>
      <c r="C27" s="296" t="s">
        <v>11</v>
      </c>
      <c r="D27" s="296"/>
      <c r="E27" s="8" t="e">
        <f>#REF!</f>
        <v>#REF!</v>
      </c>
    </row>
    <row r="28" spans="1:5" x14ac:dyDescent="0.25">
      <c r="A28" s="294"/>
      <c r="B28" s="295"/>
      <c r="C28" s="296" t="s">
        <v>13</v>
      </c>
      <c r="D28" s="296"/>
      <c r="E28" s="8" t="e">
        <f>#REF!</f>
        <v>#REF!</v>
      </c>
    </row>
    <row r="29" spans="1:5" x14ac:dyDescent="0.25">
      <c r="A29" s="294"/>
      <c r="B29" s="295"/>
      <c r="C29" s="296" t="s">
        <v>15</v>
      </c>
      <c r="D29" s="296"/>
      <c r="E29" s="8" t="e">
        <f>#REF!</f>
        <v>#REF!</v>
      </c>
    </row>
    <row r="30" spans="1:5" x14ac:dyDescent="0.25">
      <c r="A30" s="294"/>
      <c r="B30" s="295"/>
      <c r="C30" s="296" t="s">
        <v>17</v>
      </c>
      <c r="D30" s="296"/>
      <c r="E30" s="8" t="e">
        <f>#REF!</f>
        <v>#REF!</v>
      </c>
    </row>
    <row r="31" spans="1:5" x14ac:dyDescent="0.25">
      <c r="A31" s="294"/>
      <c r="B31" s="295"/>
      <c r="C31" s="296" t="s">
        <v>19</v>
      </c>
      <c r="D31" s="296"/>
      <c r="E31" s="8" t="e">
        <f>#REF!</f>
        <v>#REF!</v>
      </c>
    </row>
    <row r="32" spans="1:5" x14ac:dyDescent="0.25">
      <c r="A32" s="294"/>
      <c r="B32" s="295"/>
      <c r="C32" s="296" t="s">
        <v>21</v>
      </c>
      <c r="D32" s="296"/>
      <c r="E32" s="8" t="e">
        <f>#REF!</f>
        <v>#REF!</v>
      </c>
    </row>
    <row r="33" spans="1:5" x14ac:dyDescent="0.25">
      <c r="A33" s="294"/>
      <c r="B33" s="295"/>
      <c r="C33" s="296" t="s">
        <v>22</v>
      </c>
      <c r="D33" s="296"/>
      <c r="E33" s="8" t="e">
        <f>#REF!</f>
        <v>#REF!</v>
      </c>
    </row>
    <row r="34" spans="1:5" ht="15.75" thickBot="1" x14ac:dyDescent="0.3">
      <c r="A34" s="294"/>
      <c r="B34" s="4"/>
      <c r="C34" s="297" t="s">
        <v>24</v>
      </c>
      <c r="D34" s="297"/>
      <c r="E34" s="9" t="e">
        <f>#REF!</f>
        <v>#REF!</v>
      </c>
    </row>
    <row r="35" spans="1:5" x14ac:dyDescent="0.25">
      <c r="A35" s="294"/>
      <c r="B35" s="295" t="s">
        <v>26</v>
      </c>
      <c r="C35" s="296" t="s">
        <v>28</v>
      </c>
      <c r="D35" s="296"/>
      <c r="E35" s="8" t="e">
        <f>#REF!</f>
        <v>#REF!</v>
      </c>
    </row>
    <row r="36" spans="1:5" x14ac:dyDescent="0.25">
      <c r="A36" s="294"/>
      <c r="B36" s="295"/>
      <c r="C36" s="296" t="s">
        <v>30</v>
      </c>
      <c r="D36" s="296"/>
      <c r="E36" s="8" t="e">
        <f>#REF!</f>
        <v>#REF!</v>
      </c>
    </row>
    <row r="37" spans="1:5" x14ac:dyDescent="0.25">
      <c r="A37" s="294"/>
      <c r="B37" s="295"/>
      <c r="C37" s="296" t="s">
        <v>32</v>
      </c>
      <c r="D37" s="296"/>
      <c r="E37" s="8" t="e">
        <f>#REF!</f>
        <v>#REF!</v>
      </c>
    </row>
    <row r="38" spans="1:5" x14ac:dyDescent="0.25">
      <c r="A38" s="294"/>
      <c r="B38" s="295"/>
      <c r="C38" s="296" t="s">
        <v>34</v>
      </c>
      <c r="D38" s="296"/>
      <c r="E38" s="8" t="e">
        <f>#REF!</f>
        <v>#REF!</v>
      </c>
    </row>
    <row r="39" spans="1:5" x14ac:dyDescent="0.25">
      <c r="A39" s="294"/>
      <c r="B39" s="295"/>
      <c r="C39" s="296" t="s">
        <v>36</v>
      </c>
      <c r="D39" s="296"/>
      <c r="E39" s="8" t="e">
        <f>#REF!</f>
        <v>#REF!</v>
      </c>
    </row>
    <row r="40" spans="1:5" x14ac:dyDescent="0.25">
      <c r="A40" s="294"/>
      <c r="B40" s="295"/>
      <c r="C40" s="296" t="s">
        <v>38</v>
      </c>
      <c r="D40" s="296"/>
      <c r="E40" s="8" t="e">
        <f>#REF!</f>
        <v>#REF!</v>
      </c>
    </row>
    <row r="41" spans="1:5" ht="15.75" thickBot="1" x14ac:dyDescent="0.3">
      <c r="A41" s="294"/>
      <c r="B41" s="2"/>
      <c r="C41" s="297" t="s">
        <v>41</v>
      </c>
      <c r="D41" s="297"/>
      <c r="E41" s="9" t="e">
        <f>#REF!</f>
        <v>#REF!</v>
      </c>
    </row>
    <row r="42" spans="1:5" ht="15.75" thickBot="1" x14ac:dyDescent="0.3">
      <c r="A42" s="294"/>
      <c r="B42" s="2"/>
      <c r="C42" s="297" t="s">
        <v>43</v>
      </c>
      <c r="D42" s="297"/>
      <c r="E42" s="9" t="e">
        <f>#REF!</f>
        <v>#REF!</v>
      </c>
    </row>
    <row r="43" spans="1:5" x14ac:dyDescent="0.25">
      <c r="A43" s="3"/>
      <c r="B43" s="295" t="s">
        <v>45</v>
      </c>
      <c r="C43" s="299" t="s">
        <v>47</v>
      </c>
      <c r="D43" s="299"/>
      <c r="E43" s="10" t="e">
        <f>#REF!</f>
        <v>#REF!</v>
      </c>
    </row>
    <row r="44" spans="1:5" x14ac:dyDescent="0.25">
      <c r="A44" s="3"/>
      <c r="B44" s="295"/>
      <c r="C44" s="296" t="s">
        <v>48</v>
      </c>
      <c r="D44" s="296"/>
      <c r="E44" s="8" t="e">
        <f>#REF!</f>
        <v>#REF!</v>
      </c>
    </row>
    <row r="45" spans="1:5" x14ac:dyDescent="0.25">
      <c r="A45" s="3"/>
      <c r="B45" s="295"/>
      <c r="C45" s="296" t="s">
        <v>49</v>
      </c>
      <c r="D45" s="296"/>
      <c r="E45" s="8" t="e">
        <f>#REF!</f>
        <v>#REF!</v>
      </c>
    </row>
    <row r="46" spans="1:5" x14ac:dyDescent="0.25">
      <c r="A46" s="3"/>
      <c r="B46" s="295"/>
      <c r="C46" s="296" t="s">
        <v>50</v>
      </c>
      <c r="D46" s="296"/>
      <c r="E46" s="8" t="e">
        <f>#REF!</f>
        <v>#REF!</v>
      </c>
    </row>
    <row r="47" spans="1:5" x14ac:dyDescent="0.25">
      <c r="A47" s="3"/>
      <c r="B47" s="295"/>
      <c r="C47" s="299" t="s">
        <v>51</v>
      </c>
      <c r="D47" s="299"/>
      <c r="E47" s="10" t="e">
        <f>#REF!</f>
        <v>#REF!</v>
      </c>
    </row>
    <row r="48" spans="1:5" x14ac:dyDescent="0.25">
      <c r="A48" s="3"/>
      <c r="B48" s="295"/>
      <c r="C48" s="296" t="s">
        <v>52</v>
      </c>
      <c r="D48" s="296"/>
      <c r="E48" s="8" t="e">
        <f>#REF!</f>
        <v>#REF!</v>
      </c>
    </row>
    <row r="49" spans="1:5" x14ac:dyDescent="0.25">
      <c r="A49" s="3"/>
      <c r="B49" s="295"/>
      <c r="C49" s="296" t="s">
        <v>53</v>
      </c>
      <c r="D49" s="296"/>
      <c r="E49" s="8" t="e">
        <f>#REF!</f>
        <v>#REF!</v>
      </c>
    </row>
    <row r="50" spans="1:5" x14ac:dyDescent="0.25">
      <c r="A50" s="3"/>
      <c r="B50" s="295"/>
      <c r="C50" s="296" t="s">
        <v>54</v>
      </c>
      <c r="D50" s="296"/>
      <c r="E50" s="8" t="e">
        <f>#REF!</f>
        <v>#REF!</v>
      </c>
    </row>
    <row r="51" spans="1:5" x14ac:dyDescent="0.25">
      <c r="A51" s="3"/>
      <c r="B51" s="295"/>
      <c r="C51" s="296" t="s">
        <v>55</v>
      </c>
      <c r="D51" s="296"/>
      <c r="E51" s="8" t="e">
        <f>#REF!</f>
        <v>#REF!</v>
      </c>
    </row>
    <row r="52" spans="1:5" x14ac:dyDescent="0.25">
      <c r="A52" s="3"/>
      <c r="B52" s="295"/>
      <c r="C52" s="296" t="s">
        <v>56</v>
      </c>
      <c r="D52" s="296"/>
      <c r="E52" s="8" t="e">
        <f>#REF!</f>
        <v>#REF!</v>
      </c>
    </row>
    <row r="53" spans="1:5" x14ac:dyDescent="0.25">
      <c r="A53" s="3"/>
      <c r="B53" s="295"/>
      <c r="C53" s="299" t="s">
        <v>57</v>
      </c>
      <c r="D53" s="299"/>
      <c r="E53" s="10" t="e">
        <f>#REF!</f>
        <v>#REF!</v>
      </c>
    </row>
    <row r="54" spans="1:5" x14ac:dyDescent="0.25">
      <c r="A54" s="3"/>
      <c r="B54" s="295"/>
      <c r="C54" s="296" t="s">
        <v>58</v>
      </c>
      <c r="D54" s="296"/>
      <c r="E54" s="8" t="e">
        <f>#REF!</f>
        <v>#REF!</v>
      </c>
    </row>
    <row r="55" spans="1:5" x14ac:dyDescent="0.25">
      <c r="A55" s="3"/>
      <c r="B55" s="295"/>
      <c r="C55" s="296" t="s">
        <v>59</v>
      </c>
      <c r="D55" s="296"/>
      <c r="E55" s="8" t="e">
        <f>#REF!</f>
        <v>#REF!</v>
      </c>
    </row>
    <row r="56" spans="1:5" ht="15.75" thickBot="1" x14ac:dyDescent="0.3">
      <c r="A56" s="3"/>
      <c r="B56" s="295"/>
      <c r="C56" s="297" t="s">
        <v>60</v>
      </c>
      <c r="D56" s="297"/>
      <c r="E56" s="9" t="e">
        <f>#REF!</f>
        <v>#REF!</v>
      </c>
    </row>
    <row r="57" spans="1:5" ht="15.75" thickBot="1" x14ac:dyDescent="0.3">
      <c r="A57" s="3"/>
      <c r="B57" s="2"/>
      <c r="C57" s="297" t="s">
        <v>61</v>
      </c>
      <c r="D57" s="297"/>
      <c r="E57" s="9" t="e">
        <f>#REF!</f>
        <v>#REF!</v>
      </c>
    </row>
    <row r="58" spans="1:5" x14ac:dyDescent="0.25">
      <c r="A58" s="3"/>
      <c r="B58" s="2"/>
      <c r="C58" s="298" t="s">
        <v>3</v>
      </c>
      <c r="D58" s="298"/>
      <c r="E58" s="1">
        <v>2012</v>
      </c>
    </row>
    <row r="59" spans="1:5" x14ac:dyDescent="0.25">
      <c r="A59" s="294" t="s">
        <v>66</v>
      </c>
      <c r="B59" s="295" t="s">
        <v>6</v>
      </c>
      <c r="C59" s="296" t="s">
        <v>8</v>
      </c>
      <c r="D59" s="296"/>
      <c r="E59" s="8" t="e">
        <f>#REF!</f>
        <v>#REF!</v>
      </c>
    </row>
    <row r="60" spans="1:5" x14ac:dyDescent="0.25">
      <c r="A60" s="294"/>
      <c r="B60" s="295"/>
      <c r="C60" s="296" t="s">
        <v>10</v>
      </c>
      <c r="D60" s="296"/>
      <c r="E60" s="8" t="e">
        <f>#REF!</f>
        <v>#REF!</v>
      </c>
    </row>
    <row r="61" spans="1:5" x14ac:dyDescent="0.25">
      <c r="A61" s="294"/>
      <c r="B61" s="295"/>
      <c r="C61" s="296" t="s">
        <v>12</v>
      </c>
      <c r="D61" s="296"/>
      <c r="E61" s="8" t="e">
        <f>#REF!</f>
        <v>#REF!</v>
      </c>
    </row>
    <row r="62" spans="1:5" x14ac:dyDescent="0.25">
      <c r="A62" s="294"/>
      <c r="B62" s="295"/>
      <c r="C62" s="296" t="s">
        <v>14</v>
      </c>
      <c r="D62" s="296"/>
      <c r="E62" s="8" t="e">
        <f>#REF!</f>
        <v>#REF!</v>
      </c>
    </row>
    <row r="63" spans="1:5" x14ac:dyDescent="0.25">
      <c r="A63" s="294"/>
      <c r="B63" s="295"/>
      <c r="C63" s="296" t="s">
        <v>16</v>
      </c>
      <c r="D63" s="296"/>
      <c r="E63" s="8" t="e">
        <f>#REF!</f>
        <v>#REF!</v>
      </c>
    </row>
    <row r="64" spans="1:5" x14ac:dyDescent="0.25">
      <c r="A64" s="294"/>
      <c r="B64" s="295"/>
      <c r="C64" s="296" t="s">
        <v>18</v>
      </c>
      <c r="D64" s="296"/>
      <c r="E64" s="8" t="e">
        <f>#REF!</f>
        <v>#REF!</v>
      </c>
    </row>
    <row r="65" spans="1:5" x14ac:dyDescent="0.25">
      <c r="A65" s="294"/>
      <c r="B65" s="295"/>
      <c r="C65" s="296" t="s">
        <v>20</v>
      </c>
      <c r="D65" s="296"/>
      <c r="E65" s="8" t="e">
        <f>#REF!</f>
        <v>#REF!</v>
      </c>
    </row>
    <row r="66" spans="1:5" ht="15.75" thickBot="1" x14ac:dyDescent="0.3">
      <c r="A66" s="294"/>
      <c r="B66" s="4"/>
      <c r="C66" s="297" t="s">
        <v>23</v>
      </c>
      <c r="D66" s="297"/>
      <c r="E66" s="9" t="e">
        <f>#REF!</f>
        <v>#REF!</v>
      </c>
    </row>
    <row r="67" spans="1:5" x14ac:dyDescent="0.25">
      <c r="A67" s="294"/>
      <c r="B67" s="295" t="s">
        <v>25</v>
      </c>
      <c r="C67" s="296" t="s">
        <v>27</v>
      </c>
      <c r="D67" s="296"/>
      <c r="E67" s="8" t="e">
        <f>#REF!</f>
        <v>#REF!</v>
      </c>
    </row>
    <row r="68" spans="1:5" x14ac:dyDescent="0.25">
      <c r="A68" s="294"/>
      <c r="B68" s="295"/>
      <c r="C68" s="296" t="s">
        <v>29</v>
      </c>
      <c r="D68" s="296"/>
      <c r="E68" s="8" t="e">
        <f>#REF!</f>
        <v>#REF!</v>
      </c>
    </row>
    <row r="69" spans="1:5" x14ac:dyDescent="0.25">
      <c r="A69" s="294"/>
      <c r="B69" s="295"/>
      <c r="C69" s="296" t="s">
        <v>31</v>
      </c>
      <c r="D69" s="296"/>
      <c r="E69" s="8" t="e">
        <f>#REF!</f>
        <v>#REF!</v>
      </c>
    </row>
    <row r="70" spans="1:5" x14ac:dyDescent="0.25">
      <c r="A70" s="294"/>
      <c r="B70" s="295"/>
      <c r="C70" s="296" t="s">
        <v>33</v>
      </c>
      <c r="D70" s="296"/>
      <c r="E70" s="8" t="e">
        <f>#REF!</f>
        <v>#REF!</v>
      </c>
    </row>
    <row r="71" spans="1:5" x14ac:dyDescent="0.25">
      <c r="A71" s="294"/>
      <c r="B71" s="295"/>
      <c r="C71" s="296" t="s">
        <v>35</v>
      </c>
      <c r="D71" s="296"/>
      <c r="E71" s="8" t="e">
        <f>#REF!</f>
        <v>#REF!</v>
      </c>
    </row>
    <row r="72" spans="1:5" x14ac:dyDescent="0.25">
      <c r="A72" s="294"/>
      <c r="B72" s="295"/>
      <c r="C72" s="296" t="s">
        <v>37</v>
      </c>
      <c r="D72" s="296"/>
      <c r="E72" s="8" t="e">
        <f>#REF!</f>
        <v>#REF!</v>
      </c>
    </row>
    <row r="73" spans="1:5" x14ac:dyDescent="0.25">
      <c r="A73" s="294"/>
      <c r="B73" s="295"/>
      <c r="C73" s="296" t="s">
        <v>39</v>
      </c>
      <c r="D73" s="296"/>
      <c r="E73" s="8" t="e">
        <f>#REF!</f>
        <v>#REF!</v>
      </c>
    </row>
    <row r="74" spans="1:5" x14ac:dyDescent="0.25">
      <c r="A74" s="294"/>
      <c r="B74" s="295"/>
      <c r="C74" s="296" t="s">
        <v>40</v>
      </c>
      <c r="D74" s="296"/>
      <c r="E74" s="8" t="e">
        <f>#REF!</f>
        <v>#REF!</v>
      </c>
    </row>
    <row r="75" spans="1:5" x14ac:dyDescent="0.25">
      <c r="A75" s="294"/>
      <c r="B75" s="295"/>
      <c r="C75" s="296" t="s">
        <v>42</v>
      </c>
      <c r="D75" s="296"/>
      <c r="E75" s="8" t="e">
        <f>#REF!</f>
        <v>#REF!</v>
      </c>
    </row>
    <row r="76" spans="1:5" ht="15.75" thickBot="1" x14ac:dyDescent="0.3">
      <c r="A76" s="294"/>
      <c r="B76" s="4"/>
      <c r="C76" s="297" t="s">
        <v>44</v>
      </c>
      <c r="D76" s="297"/>
      <c r="E76" s="9" t="e">
        <f>#REF!</f>
        <v>#REF!</v>
      </c>
    </row>
    <row r="77" spans="1:5" ht="15.75" thickBot="1" x14ac:dyDescent="0.3">
      <c r="A77" s="294"/>
      <c r="B77" s="2"/>
      <c r="C77" s="297" t="s">
        <v>46</v>
      </c>
      <c r="D77" s="297"/>
      <c r="E77" s="9" t="e">
        <f>#REF!</f>
        <v>#REF!</v>
      </c>
    </row>
    <row r="78" spans="1:5" x14ac:dyDescent="0.25">
      <c r="A78" s="294" t="s">
        <v>67</v>
      </c>
      <c r="B78" s="295" t="s">
        <v>7</v>
      </c>
      <c r="C78" s="296" t="s">
        <v>9</v>
      </c>
      <c r="D78" s="296"/>
      <c r="E78" s="8" t="e">
        <f>#REF!</f>
        <v>#REF!</v>
      </c>
    </row>
    <row r="79" spans="1:5" x14ac:dyDescent="0.25">
      <c r="A79" s="294"/>
      <c r="B79" s="295"/>
      <c r="C79" s="296" t="s">
        <v>11</v>
      </c>
      <c r="D79" s="296"/>
      <c r="E79" s="8" t="e">
        <f>#REF!</f>
        <v>#REF!</v>
      </c>
    </row>
    <row r="80" spans="1:5" x14ac:dyDescent="0.25">
      <c r="A80" s="294"/>
      <c r="B80" s="295"/>
      <c r="C80" s="296" t="s">
        <v>13</v>
      </c>
      <c r="D80" s="296"/>
      <c r="E80" s="8" t="e">
        <f>#REF!</f>
        <v>#REF!</v>
      </c>
    </row>
    <row r="81" spans="1:5" x14ac:dyDescent="0.25">
      <c r="A81" s="294"/>
      <c r="B81" s="295"/>
      <c r="C81" s="296" t="s">
        <v>15</v>
      </c>
      <c r="D81" s="296"/>
      <c r="E81" s="8" t="e">
        <f>#REF!</f>
        <v>#REF!</v>
      </c>
    </row>
    <row r="82" spans="1:5" x14ac:dyDescent="0.25">
      <c r="A82" s="294"/>
      <c r="B82" s="295"/>
      <c r="C82" s="296" t="s">
        <v>17</v>
      </c>
      <c r="D82" s="296"/>
      <c r="E82" s="8" t="e">
        <f>#REF!</f>
        <v>#REF!</v>
      </c>
    </row>
    <row r="83" spans="1:5" x14ac:dyDescent="0.25">
      <c r="A83" s="294"/>
      <c r="B83" s="295"/>
      <c r="C83" s="296" t="s">
        <v>19</v>
      </c>
      <c r="D83" s="296"/>
      <c r="E83" s="8" t="e">
        <f>#REF!</f>
        <v>#REF!</v>
      </c>
    </row>
    <row r="84" spans="1:5" x14ac:dyDescent="0.25">
      <c r="A84" s="294"/>
      <c r="B84" s="295"/>
      <c r="C84" s="296" t="s">
        <v>21</v>
      </c>
      <c r="D84" s="296"/>
      <c r="E84" s="8" t="e">
        <f>#REF!</f>
        <v>#REF!</v>
      </c>
    </row>
    <row r="85" spans="1:5" x14ac:dyDescent="0.25">
      <c r="A85" s="294"/>
      <c r="B85" s="295"/>
      <c r="C85" s="296" t="s">
        <v>22</v>
      </c>
      <c r="D85" s="296"/>
      <c r="E85" s="8" t="e">
        <f>#REF!</f>
        <v>#REF!</v>
      </c>
    </row>
    <row r="86" spans="1:5" ht="15.75" thickBot="1" x14ac:dyDescent="0.3">
      <c r="A86" s="294"/>
      <c r="B86" s="4"/>
      <c r="C86" s="297" t="s">
        <v>24</v>
      </c>
      <c r="D86" s="297"/>
      <c r="E86" s="9" t="e">
        <f>#REF!</f>
        <v>#REF!</v>
      </c>
    </row>
    <row r="87" spans="1:5" x14ac:dyDescent="0.25">
      <c r="A87" s="294"/>
      <c r="B87" s="295" t="s">
        <v>26</v>
      </c>
      <c r="C87" s="296" t="s">
        <v>28</v>
      </c>
      <c r="D87" s="296"/>
      <c r="E87" s="8" t="e">
        <f>#REF!</f>
        <v>#REF!</v>
      </c>
    </row>
    <row r="88" spans="1:5" x14ac:dyDescent="0.25">
      <c r="A88" s="294"/>
      <c r="B88" s="295"/>
      <c r="C88" s="296" t="s">
        <v>30</v>
      </c>
      <c r="D88" s="296"/>
      <c r="E88" s="8" t="e">
        <f>#REF!</f>
        <v>#REF!</v>
      </c>
    </row>
    <row r="89" spans="1:5" x14ac:dyDescent="0.25">
      <c r="A89" s="294"/>
      <c r="B89" s="295"/>
      <c r="C89" s="296" t="s">
        <v>32</v>
      </c>
      <c r="D89" s="296"/>
      <c r="E89" s="8" t="e">
        <f>#REF!</f>
        <v>#REF!</v>
      </c>
    </row>
    <row r="90" spans="1:5" x14ac:dyDescent="0.25">
      <c r="A90" s="294"/>
      <c r="B90" s="295"/>
      <c r="C90" s="296" t="s">
        <v>34</v>
      </c>
      <c r="D90" s="296"/>
      <c r="E90" s="8" t="e">
        <f>#REF!</f>
        <v>#REF!</v>
      </c>
    </row>
    <row r="91" spans="1:5" x14ac:dyDescent="0.25">
      <c r="A91" s="294"/>
      <c r="B91" s="295"/>
      <c r="C91" s="296" t="s">
        <v>36</v>
      </c>
      <c r="D91" s="296"/>
      <c r="E91" s="8" t="e">
        <f>#REF!</f>
        <v>#REF!</v>
      </c>
    </row>
    <row r="92" spans="1:5" x14ac:dyDescent="0.25">
      <c r="A92" s="294"/>
      <c r="B92" s="295"/>
      <c r="C92" s="296" t="s">
        <v>38</v>
      </c>
      <c r="D92" s="296"/>
      <c r="E92" s="8" t="e">
        <f>#REF!</f>
        <v>#REF!</v>
      </c>
    </row>
    <row r="93" spans="1:5" ht="15.75" thickBot="1" x14ac:dyDescent="0.3">
      <c r="A93" s="294"/>
      <c r="B93" s="2"/>
      <c r="C93" s="297" t="s">
        <v>41</v>
      </c>
      <c r="D93" s="297"/>
      <c r="E93" s="9" t="e">
        <f>#REF!</f>
        <v>#REF!</v>
      </c>
    </row>
    <row r="94" spans="1:5" ht="15.75" thickBot="1" x14ac:dyDescent="0.3">
      <c r="A94" s="294"/>
      <c r="B94" s="2"/>
      <c r="C94" s="297" t="s">
        <v>43</v>
      </c>
      <c r="D94" s="297"/>
      <c r="E94" s="9" t="e">
        <f>#REF!</f>
        <v>#REF!</v>
      </c>
    </row>
    <row r="95" spans="1:5" x14ac:dyDescent="0.25">
      <c r="A95" s="3"/>
      <c r="B95" s="295" t="s">
        <v>45</v>
      </c>
      <c r="C95" s="299" t="s">
        <v>47</v>
      </c>
      <c r="D95" s="299"/>
      <c r="E95" s="10" t="e">
        <f>#REF!</f>
        <v>#REF!</v>
      </c>
    </row>
    <row r="96" spans="1:5" x14ac:dyDescent="0.25">
      <c r="A96" s="3"/>
      <c r="B96" s="295"/>
      <c r="C96" s="296" t="s">
        <v>48</v>
      </c>
      <c r="D96" s="296"/>
      <c r="E96" s="8" t="e">
        <f>#REF!</f>
        <v>#REF!</v>
      </c>
    </row>
    <row r="97" spans="1:5" x14ac:dyDescent="0.25">
      <c r="A97" s="3"/>
      <c r="B97" s="295"/>
      <c r="C97" s="296" t="s">
        <v>49</v>
      </c>
      <c r="D97" s="296"/>
      <c r="E97" s="8" t="e">
        <f>#REF!</f>
        <v>#REF!</v>
      </c>
    </row>
    <row r="98" spans="1:5" x14ac:dyDescent="0.25">
      <c r="A98" s="3"/>
      <c r="B98" s="295"/>
      <c r="C98" s="296" t="s">
        <v>50</v>
      </c>
      <c r="D98" s="296"/>
      <c r="E98" s="8" t="e">
        <f>#REF!</f>
        <v>#REF!</v>
      </c>
    </row>
    <row r="99" spans="1:5" x14ac:dyDescent="0.25">
      <c r="A99" s="3"/>
      <c r="B99" s="295"/>
      <c r="C99" s="299" t="s">
        <v>51</v>
      </c>
      <c r="D99" s="299"/>
      <c r="E99" s="10" t="e">
        <f>#REF!</f>
        <v>#REF!</v>
      </c>
    </row>
    <row r="100" spans="1:5" x14ac:dyDescent="0.25">
      <c r="A100" s="3"/>
      <c r="B100" s="295"/>
      <c r="C100" s="296" t="s">
        <v>52</v>
      </c>
      <c r="D100" s="296"/>
      <c r="E100" s="8" t="e">
        <f>#REF!</f>
        <v>#REF!</v>
      </c>
    </row>
    <row r="101" spans="1:5" x14ac:dyDescent="0.25">
      <c r="A101" s="3"/>
      <c r="B101" s="295"/>
      <c r="C101" s="296" t="s">
        <v>53</v>
      </c>
      <c r="D101" s="296"/>
      <c r="E101" s="8" t="e">
        <f>#REF!</f>
        <v>#REF!</v>
      </c>
    </row>
    <row r="102" spans="1:5" x14ac:dyDescent="0.25">
      <c r="A102" s="3"/>
      <c r="B102" s="295"/>
      <c r="C102" s="296" t="s">
        <v>54</v>
      </c>
      <c r="D102" s="296"/>
      <c r="E102" s="8" t="e">
        <f>#REF!</f>
        <v>#REF!</v>
      </c>
    </row>
    <row r="103" spans="1:5" x14ac:dyDescent="0.25">
      <c r="A103" s="3"/>
      <c r="B103" s="295"/>
      <c r="C103" s="296" t="s">
        <v>55</v>
      </c>
      <c r="D103" s="296"/>
      <c r="E103" s="8" t="e">
        <f>#REF!</f>
        <v>#REF!</v>
      </c>
    </row>
    <row r="104" spans="1:5" x14ac:dyDescent="0.25">
      <c r="A104" s="3"/>
      <c r="B104" s="295"/>
      <c r="C104" s="296" t="s">
        <v>56</v>
      </c>
      <c r="D104" s="296"/>
      <c r="E104" s="8" t="e">
        <f>#REF!</f>
        <v>#REF!</v>
      </c>
    </row>
    <row r="105" spans="1:5" x14ac:dyDescent="0.25">
      <c r="A105" s="3"/>
      <c r="B105" s="295"/>
      <c r="C105" s="299" t="s">
        <v>57</v>
      </c>
      <c r="D105" s="299"/>
      <c r="E105" s="10" t="e">
        <f>#REF!</f>
        <v>#REF!</v>
      </c>
    </row>
    <row r="106" spans="1:5" x14ac:dyDescent="0.25">
      <c r="A106" s="3"/>
      <c r="B106" s="295"/>
      <c r="C106" s="296" t="s">
        <v>58</v>
      </c>
      <c r="D106" s="296"/>
      <c r="E106" s="8" t="e">
        <f>#REF!</f>
        <v>#REF!</v>
      </c>
    </row>
    <row r="107" spans="1:5" x14ac:dyDescent="0.25">
      <c r="A107" s="3"/>
      <c r="B107" s="295"/>
      <c r="C107" s="296" t="s">
        <v>59</v>
      </c>
      <c r="D107" s="296"/>
      <c r="E107" s="8" t="e">
        <f>#REF!</f>
        <v>#REF!</v>
      </c>
    </row>
    <row r="108" spans="1:5" ht="15.75" thickBot="1" x14ac:dyDescent="0.3">
      <c r="A108" s="3"/>
      <c r="B108" s="295"/>
      <c r="C108" s="297" t="s">
        <v>60</v>
      </c>
      <c r="D108" s="297"/>
      <c r="E108" s="9" t="e">
        <f>#REF!</f>
        <v>#REF!</v>
      </c>
    </row>
    <row r="109" spans="1:5" ht="15.75" thickBot="1" x14ac:dyDescent="0.3">
      <c r="A109" s="3"/>
      <c r="B109" s="2"/>
      <c r="C109" s="297" t="s">
        <v>61</v>
      </c>
      <c r="D109" s="297"/>
      <c r="E109" s="9" t="e">
        <f>#REF!</f>
        <v>#REF!</v>
      </c>
    </row>
    <row r="110" spans="1:5" x14ac:dyDescent="0.25">
      <c r="A110" s="3"/>
      <c r="B110" s="2"/>
      <c r="C110" s="30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0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0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05"/>
      <c r="D113" s="5" t="s">
        <v>63</v>
      </c>
      <c r="E113" s="10" t="e">
        <f>#REF!</f>
        <v>#REF!</v>
      </c>
    </row>
    <row r="114" spans="1:5" x14ac:dyDescent="0.25">
      <c r="A114" s="303" t="s">
        <v>0</v>
      </c>
      <c r="B114" s="303"/>
      <c r="C114" s="303"/>
      <c r="D114" s="303"/>
      <c r="E114" s="13" t="e">
        <f>#REF!</f>
        <v>#REF!</v>
      </c>
    </row>
    <row r="115" spans="1:5" x14ac:dyDescent="0.25">
      <c r="A115" s="303" t="s">
        <v>2</v>
      </c>
      <c r="B115" s="303"/>
      <c r="C115" s="303"/>
      <c r="D115" s="303"/>
      <c r="E115" s="13" t="e">
        <f>#REF!</f>
        <v>#REF!</v>
      </c>
    </row>
    <row r="116" spans="1:5" x14ac:dyDescent="0.25">
      <c r="A116" s="303" t="s">
        <v>1</v>
      </c>
      <c r="B116" s="303"/>
      <c r="C116" s="303"/>
      <c r="D116" s="303"/>
      <c r="E116" s="14"/>
    </row>
    <row r="117" spans="1:5" x14ac:dyDescent="0.25">
      <c r="A117" s="303" t="s">
        <v>70</v>
      </c>
      <c r="B117" s="303"/>
      <c r="C117" s="303"/>
      <c r="D117" s="303"/>
      <c r="E117" t="s">
        <v>69</v>
      </c>
    </row>
    <row r="118" spans="1:5" x14ac:dyDescent="0.25">
      <c r="B118" s="300" t="s">
        <v>64</v>
      </c>
      <c r="C118" s="299" t="s">
        <v>4</v>
      </c>
      <c r="D118" s="299"/>
      <c r="E118" s="11" t="e">
        <f>#REF!</f>
        <v>#REF!</v>
      </c>
    </row>
    <row r="119" spans="1:5" x14ac:dyDescent="0.25">
      <c r="B119" s="300"/>
      <c r="C119" s="299" t="s">
        <v>6</v>
      </c>
      <c r="D119" s="299"/>
      <c r="E119" s="11" t="e">
        <f>#REF!</f>
        <v>#REF!</v>
      </c>
    </row>
    <row r="120" spans="1:5" x14ac:dyDescent="0.25">
      <c r="B120" s="300"/>
      <c r="C120" s="296" t="s">
        <v>8</v>
      </c>
      <c r="D120" s="296"/>
      <c r="E120" s="12" t="e">
        <f>#REF!</f>
        <v>#REF!</v>
      </c>
    </row>
    <row r="121" spans="1:5" x14ac:dyDescent="0.25">
      <c r="B121" s="300"/>
      <c r="C121" s="296" t="s">
        <v>10</v>
      </c>
      <c r="D121" s="296"/>
      <c r="E121" s="12" t="e">
        <f>#REF!</f>
        <v>#REF!</v>
      </c>
    </row>
    <row r="122" spans="1:5" x14ac:dyDescent="0.25">
      <c r="B122" s="300"/>
      <c r="C122" s="296" t="s">
        <v>12</v>
      </c>
      <c r="D122" s="296"/>
      <c r="E122" s="12" t="e">
        <f>#REF!</f>
        <v>#REF!</v>
      </c>
    </row>
    <row r="123" spans="1:5" x14ac:dyDescent="0.25">
      <c r="B123" s="300"/>
      <c r="C123" s="296" t="s">
        <v>14</v>
      </c>
      <c r="D123" s="296"/>
      <c r="E123" s="12" t="e">
        <f>#REF!</f>
        <v>#REF!</v>
      </c>
    </row>
    <row r="124" spans="1:5" x14ac:dyDescent="0.25">
      <c r="B124" s="300"/>
      <c r="C124" s="296" t="s">
        <v>16</v>
      </c>
      <c r="D124" s="296"/>
      <c r="E124" s="12" t="e">
        <f>#REF!</f>
        <v>#REF!</v>
      </c>
    </row>
    <row r="125" spans="1:5" x14ac:dyDescent="0.25">
      <c r="B125" s="300"/>
      <c r="C125" s="296" t="s">
        <v>18</v>
      </c>
      <c r="D125" s="296"/>
      <c r="E125" s="12" t="e">
        <f>#REF!</f>
        <v>#REF!</v>
      </c>
    </row>
    <row r="126" spans="1:5" x14ac:dyDescent="0.25">
      <c r="B126" s="300"/>
      <c r="C126" s="296" t="s">
        <v>20</v>
      </c>
      <c r="D126" s="296"/>
      <c r="E126" s="12" t="e">
        <f>#REF!</f>
        <v>#REF!</v>
      </c>
    </row>
    <row r="127" spans="1:5" x14ac:dyDescent="0.25">
      <c r="B127" s="300"/>
      <c r="C127" s="299" t="s">
        <v>25</v>
      </c>
      <c r="D127" s="299"/>
      <c r="E127" s="11" t="e">
        <f>#REF!</f>
        <v>#REF!</v>
      </c>
    </row>
    <row r="128" spans="1:5" x14ac:dyDescent="0.25">
      <c r="B128" s="300"/>
      <c r="C128" s="296" t="s">
        <v>27</v>
      </c>
      <c r="D128" s="296"/>
      <c r="E128" s="12" t="e">
        <f>#REF!</f>
        <v>#REF!</v>
      </c>
    </row>
    <row r="129" spans="2:5" x14ac:dyDescent="0.25">
      <c r="B129" s="300"/>
      <c r="C129" s="296" t="s">
        <v>29</v>
      </c>
      <c r="D129" s="296"/>
      <c r="E129" s="12" t="e">
        <f>#REF!</f>
        <v>#REF!</v>
      </c>
    </row>
    <row r="130" spans="2:5" x14ac:dyDescent="0.25">
      <c r="B130" s="300"/>
      <c r="C130" s="296" t="s">
        <v>31</v>
      </c>
      <c r="D130" s="296"/>
      <c r="E130" s="12" t="e">
        <f>#REF!</f>
        <v>#REF!</v>
      </c>
    </row>
    <row r="131" spans="2:5" x14ac:dyDescent="0.25">
      <c r="B131" s="300"/>
      <c r="C131" s="296" t="s">
        <v>33</v>
      </c>
      <c r="D131" s="296"/>
      <c r="E131" s="12" t="e">
        <f>#REF!</f>
        <v>#REF!</v>
      </c>
    </row>
    <row r="132" spans="2:5" x14ac:dyDescent="0.25">
      <c r="B132" s="300"/>
      <c r="C132" s="296" t="s">
        <v>35</v>
      </c>
      <c r="D132" s="296"/>
      <c r="E132" s="12" t="e">
        <f>#REF!</f>
        <v>#REF!</v>
      </c>
    </row>
    <row r="133" spans="2:5" x14ac:dyDescent="0.25">
      <c r="B133" s="300"/>
      <c r="C133" s="296" t="s">
        <v>37</v>
      </c>
      <c r="D133" s="296"/>
      <c r="E133" s="12" t="e">
        <f>#REF!</f>
        <v>#REF!</v>
      </c>
    </row>
    <row r="134" spans="2:5" x14ac:dyDescent="0.25">
      <c r="B134" s="300"/>
      <c r="C134" s="296" t="s">
        <v>39</v>
      </c>
      <c r="D134" s="296"/>
      <c r="E134" s="12" t="e">
        <f>#REF!</f>
        <v>#REF!</v>
      </c>
    </row>
    <row r="135" spans="2:5" x14ac:dyDescent="0.25">
      <c r="B135" s="300"/>
      <c r="C135" s="296" t="s">
        <v>40</v>
      </c>
      <c r="D135" s="296"/>
      <c r="E135" s="12" t="e">
        <f>#REF!</f>
        <v>#REF!</v>
      </c>
    </row>
    <row r="136" spans="2:5" x14ac:dyDescent="0.25">
      <c r="B136" s="300"/>
      <c r="C136" s="296" t="s">
        <v>42</v>
      </c>
      <c r="D136" s="296"/>
      <c r="E136" s="12" t="e">
        <f>#REF!</f>
        <v>#REF!</v>
      </c>
    </row>
    <row r="137" spans="2:5" x14ac:dyDescent="0.25">
      <c r="B137" s="300"/>
      <c r="C137" s="299" t="s">
        <v>5</v>
      </c>
      <c r="D137" s="299"/>
      <c r="E137" s="11" t="e">
        <f>#REF!</f>
        <v>#REF!</v>
      </c>
    </row>
    <row r="138" spans="2:5" x14ac:dyDescent="0.25">
      <c r="B138" s="300"/>
      <c r="C138" s="299" t="s">
        <v>7</v>
      </c>
      <c r="D138" s="299"/>
      <c r="E138" s="11" t="e">
        <f>#REF!</f>
        <v>#REF!</v>
      </c>
    </row>
    <row r="139" spans="2:5" x14ac:dyDescent="0.25">
      <c r="B139" s="300"/>
      <c r="C139" s="296" t="s">
        <v>9</v>
      </c>
      <c r="D139" s="296"/>
      <c r="E139" s="12" t="e">
        <f>#REF!</f>
        <v>#REF!</v>
      </c>
    </row>
    <row r="140" spans="2:5" x14ac:dyDescent="0.25">
      <c r="B140" s="300"/>
      <c r="C140" s="296" t="s">
        <v>11</v>
      </c>
      <c r="D140" s="296"/>
      <c r="E140" s="12" t="e">
        <f>#REF!</f>
        <v>#REF!</v>
      </c>
    </row>
    <row r="141" spans="2:5" x14ac:dyDescent="0.25">
      <c r="B141" s="300"/>
      <c r="C141" s="296" t="s">
        <v>13</v>
      </c>
      <c r="D141" s="296"/>
      <c r="E141" s="12" t="e">
        <f>#REF!</f>
        <v>#REF!</v>
      </c>
    </row>
    <row r="142" spans="2:5" x14ac:dyDescent="0.25">
      <c r="B142" s="300"/>
      <c r="C142" s="296" t="s">
        <v>15</v>
      </c>
      <c r="D142" s="296"/>
      <c r="E142" s="12" t="e">
        <f>#REF!</f>
        <v>#REF!</v>
      </c>
    </row>
    <row r="143" spans="2:5" x14ac:dyDescent="0.25">
      <c r="B143" s="300"/>
      <c r="C143" s="296" t="s">
        <v>17</v>
      </c>
      <c r="D143" s="296"/>
      <c r="E143" s="12" t="e">
        <f>#REF!</f>
        <v>#REF!</v>
      </c>
    </row>
    <row r="144" spans="2:5" x14ac:dyDescent="0.25">
      <c r="B144" s="300"/>
      <c r="C144" s="296" t="s">
        <v>19</v>
      </c>
      <c r="D144" s="296"/>
      <c r="E144" s="12" t="e">
        <f>#REF!</f>
        <v>#REF!</v>
      </c>
    </row>
    <row r="145" spans="2:5" x14ac:dyDescent="0.25">
      <c r="B145" s="300"/>
      <c r="C145" s="296" t="s">
        <v>21</v>
      </c>
      <c r="D145" s="296"/>
      <c r="E145" s="12" t="e">
        <f>#REF!</f>
        <v>#REF!</v>
      </c>
    </row>
    <row r="146" spans="2:5" x14ac:dyDescent="0.25">
      <c r="B146" s="300"/>
      <c r="C146" s="296" t="s">
        <v>22</v>
      </c>
      <c r="D146" s="296"/>
      <c r="E146" s="12" t="e">
        <f>#REF!</f>
        <v>#REF!</v>
      </c>
    </row>
    <row r="147" spans="2:5" x14ac:dyDescent="0.25">
      <c r="B147" s="300"/>
      <c r="C147" s="302" t="s">
        <v>26</v>
      </c>
      <c r="D147" s="302"/>
      <c r="E147" s="11" t="e">
        <f>#REF!</f>
        <v>#REF!</v>
      </c>
    </row>
    <row r="148" spans="2:5" x14ac:dyDescent="0.25">
      <c r="B148" s="300"/>
      <c r="C148" s="296" t="s">
        <v>28</v>
      </c>
      <c r="D148" s="296"/>
      <c r="E148" s="12" t="e">
        <f>#REF!</f>
        <v>#REF!</v>
      </c>
    </row>
    <row r="149" spans="2:5" x14ac:dyDescent="0.25">
      <c r="B149" s="300"/>
      <c r="C149" s="296" t="s">
        <v>30</v>
      </c>
      <c r="D149" s="296"/>
      <c r="E149" s="12" t="e">
        <f>#REF!</f>
        <v>#REF!</v>
      </c>
    </row>
    <row r="150" spans="2:5" x14ac:dyDescent="0.25">
      <c r="B150" s="300"/>
      <c r="C150" s="296" t="s">
        <v>32</v>
      </c>
      <c r="D150" s="296"/>
      <c r="E150" s="12" t="e">
        <f>#REF!</f>
        <v>#REF!</v>
      </c>
    </row>
    <row r="151" spans="2:5" x14ac:dyDescent="0.25">
      <c r="B151" s="300"/>
      <c r="C151" s="296" t="s">
        <v>34</v>
      </c>
      <c r="D151" s="296"/>
      <c r="E151" s="12" t="e">
        <f>#REF!</f>
        <v>#REF!</v>
      </c>
    </row>
    <row r="152" spans="2:5" x14ac:dyDescent="0.25">
      <c r="B152" s="300"/>
      <c r="C152" s="296" t="s">
        <v>36</v>
      </c>
      <c r="D152" s="296"/>
      <c r="E152" s="12" t="e">
        <f>#REF!</f>
        <v>#REF!</v>
      </c>
    </row>
    <row r="153" spans="2:5" x14ac:dyDescent="0.25">
      <c r="B153" s="300"/>
      <c r="C153" s="296" t="s">
        <v>38</v>
      </c>
      <c r="D153" s="296"/>
      <c r="E153" s="12" t="e">
        <f>#REF!</f>
        <v>#REF!</v>
      </c>
    </row>
    <row r="154" spans="2:5" x14ac:dyDescent="0.25">
      <c r="B154" s="300"/>
      <c r="C154" s="299" t="s">
        <v>45</v>
      </c>
      <c r="D154" s="299"/>
      <c r="E154" s="11" t="e">
        <f>#REF!</f>
        <v>#REF!</v>
      </c>
    </row>
    <row r="155" spans="2:5" x14ac:dyDescent="0.25">
      <c r="B155" s="300"/>
      <c r="C155" s="299" t="s">
        <v>47</v>
      </c>
      <c r="D155" s="299"/>
      <c r="E155" s="11" t="e">
        <f>#REF!</f>
        <v>#REF!</v>
      </c>
    </row>
    <row r="156" spans="2:5" x14ac:dyDescent="0.25">
      <c r="B156" s="300"/>
      <c r="C156" s="296" t="s">
        <v>48</v>
      </c>
      <c r="D156" s="296"/>
      <c r="E156" s="12" t="e">
        <f>#REF!</f>
        <v>#REF!</v>
      </c>
    </row>
    <row r="157" spans="2:5" x14ac:dyDescent="0.25">
      <c r="B157" s="300"/>
      <c r="C157" s="296" t="s">
        <v>49</v>
      </c>
      <c r="D157" s="296"/>
      <c r="E157" s="12" t="e">
        <f>#REF!</f>
        <v>#REF!</v>
      </c>
    </row>
    <row r="158" spans="2:5" x14ac:dyDescent="0.25">
      <c r="B158" s="300"/>
      <c r="C158" s="296" t="s">
        <v>50</v>
      </c>
      <c r="D158" s="296"/>
      <c r="E158" s="12" t="e">
        <f>#REF!</f>
        <v>#REF!</v>
      </c>
    </row>
    <row r="159" spans="2:5" x14ac:dyDescent="0.25">
      <c r="B159" s="300"/>
      <c r="C159" s="299" t="s">
        <v>51</v>
      </c>
      <c r="D159" s="299"/>
      <c r="E159" s="11" t="e">
        <f>#REF!</f>
        <v>#REF!</v>
      </c>
    </row>
    <row r="160" spans="2:5" x14ac:dyDescent="0.25">
      <c r="B160" s="300"/>
      <c r="C160" s="296" t="s">
        <v>52</v>
      </c>
      <c r="D160" s="296"/>
      <c r="E160" s="12" t="e">
        <f>#REF!</f>
        <v>#REF!</v>
      </c>
    </row>
    <row r="161" spans="2:5" x14ac:dyDescent="0.25">
      <c r="B161" s="300"/>
      <c r="C161" s="296" t="s">
        <v>53</v>
      </c>
      <c r="D161" s="296"/>
      <c r="E161" s="12" t="e">
        <f>#REF!</f>
        <v>#REF!</v>
      </c>
    </row>
    <row r="162" spans="2:5" x14ac:dyDescent="0.25">
      <c r="B162" s="300"/>
      <c r="C162" s="296" t="s">
        <v>54</v>
      </c>
      <c r="D162" s="296"/>
      <c r="E162" s="12" t="e">
        <f>#REF!</f>
        <v>#REF!</v>
      </c>
    </row>
    <row r="163" spans="2:5" x14ac:dyDescent="0.25">
      <c r="B163" s="300"/>
      <c r="C163" s="296" t="s">
        <v>55</v>
      </c>
      <c r="D163" s="296"/>
      <c r="E163" s="12" t="e">
        <f>#REF!</f>
        <v>#REF!</v>
      </c>
    </row>
    <row r="164" spans="2:5" x14ac:dyDescent="0.25">
      <c r="B164" s="300"/>
      <c r="C164" s="296" t="s">
        <v>56</v>
      </c>
      <c r="D164" s="296"/>
      <c r="E164" s="12" t="e">
        <f>#REF!</f>
        <v>#REF!</v>
      </c>
    </row>
    <row r="165" spans="2:5" x14ac:dyDescent="0.25">
      <c r="B165" s="300"/>
      <c r="C165" s="299" t="s">
        <v>57</v>
      </c>
      <c r="D165" s="299"/>
      <c r="E165" s="11" t="e">
        <f>#REF!</f>
        <v>#REF!</v>
      </c>
    </row>
    <row r="166" spans="2:5" x14ac:dyDescent="0.25">
      <c r="B166" s="300"/>
      <c r="C166" s="296" t="s">
        <v>58</v>
      </c>
      <c r="D166" s="296"/>
      <c r="E166" s="12" t="e">
        <f>#REF!</f>
        <v>#REF!</v>
      </c>
    </row>
    <row r="167" spans="2:5" ht="15" customHeight="1" thickBot="1" x14ac:dyDescent="0.3">
      <c r="B167" s="301"/>
      <c r="C167" s="296" t="s">
        <v>59</v>
      </c>
      <c r="D167" s="296"/>
      <c r="E167" s="12" t="e">
        <f>#REF!</f>
        <v>#REF!</v>
      </c>
    </row>
    <row r="168" spans="2:5" x14ac:dyDescent="0.25">
      <c r="B168" s="300" t="s">
        <v>65</v>
      </c>
      <c r="C168" s="299" t="s">
        <v>4</v>
      </c>
      <c r="D168" s="299"/>
      <c r="E168" s="11" t="e">
        <f>#REF!</f>
        <v>#REF!</v>
      </c>
    </row>
    <row r="169" spans="2:5" ht="15" customHeight="1" x14ac:dyDescent="0.25">
      <c r="B169" s="300"/>
      <c r="C169" s="299" t="s">
        <v>6</v>
      </c>
      <c r="D169" s="299"/>
      <c r="E169" s="11" t="e">
        <f>#REF!</f>
        <v>#REF!</v>
      </c>
    </row>
    <row r="170" spans="2:5" ht="15" customHeight="1" x14ac:dyDescent="0.25">
      <c r="B170" s="300"/>
      <c r="C170" s="296" t="s">
        <v>8</v>
      </c>
      <c r="D170" s="296"/>
      <c r="E170" s="12" t="e">
        <f>#REF!</f>
        <v>#REF!</v>
      </c>
    </row>
    <row r="171" spans="2:5" ht="15" customHeight="1" x14ac:dyDescent="0.25">
      <c r="B171" s="300"/>
      <c r="C171" s="296" t="s">
        <v>10</v>
      </c>
      <c r="D171" s="296"/>
      <c r="E171" s="12" t="e">
        <f>#REF!</f>
        <v>#REF!</v>
      </c>
    </row>
    <row r="172" spans="2:5" x14ac:dyDescent="0.25">
      <c r="B172" s="300"/>
      <c r="C172" s="296" t="s">
        <v>12</v>
      </c>
      <c r="D172" s="296"/>
      <c r="E172" s="12" t="e">
        <f>#REF!</f>
        <v>#REF!</v>
      </c>
    </row>
    <row r="173" spans="2:5" x14ac:dyDescent="0.25">
      <c r="B173" s="300"/>
      <c r="C173" s="296" t="s">
        <v>14</v>
      </c>
      <c r="D173" s="296"/>
      <c r="E173" s="12" t="e">
        <f>#REF!</f>
        <v>#REF!</v>
      </c>
    </row>
    <row r="174" spans="2:5" ht="15" customHeight="1" x14ac:dyDescent="0.25">
      <c r="B174" s="300"/>
      <c r="C174" s="296" t="s">
        <v>16</v>
      </c>
      <c r="D174" s="296"/>
      <c r="E174" s="12" t="e">
        <f>#REF!</f>
        <v>#REF!</v>
      </c>
    </row>
    <row r="175" spans="2:5" ht="15" customHeight="1" x14ac:dyDescent="0.25">
      <c r="B175" s="300"/>
      <c r="C175" s="296" t="s">
        <v>18</v>
      </c>
      <c r="D175" s="296"/>
      <c r="E175" s="12" t="e">
        <f>#REF!</f>
        <v>#REF!</v>
      </c>
    </row>
    <row r="176" spans="2:5" x14ac:dyDescent="0.25">
      <c r="B176" s="300"/>
      <c r="C176" s="296" t="s">
        <v>20</v>
      </c>
      <c r="D176" s="296"/>
      <c r="E176" s="12" t="e">
        <f>#REF!</f>
        <v>#REF!</v>
      </c>
    </row>
    <row r="177" spans="2:5" ht="15" customHeight="1" x14ac:dyDescent="0.25">
      <c r="B177" s="300"/>
      <c r="C177" s="299" t="s">
        <v>25</v>
      </c>
      <c r="D177" s="299"/>
      <c r="E177" s="11" t="e">
        <f>#REF!</f>
        <v>#REF!</v>
      </c>
    </row>
    <row r="178" spans="2:5" x14ac:dyDescent="0.25">
      <c r="B178" s="300"/>
      <c r="C178" s="296" t="s">
        <v>27</v>
      </c>
      <c r="D178" s="296"/>
      <c r="E178" s="12" t="e">
        <f>#REF!</f>
        <v>#REF!</v>
      </c>
    </row>
    <row r="179" spans="2:5" ht="15" customHeight="1" x14ac:dyDescent="0.25">
      <c r="B179" s="300"/>
      <c r="C179" s="296" t="s">
        <v>29</v>
      </c>
      <c r="D179" s="296"/>
      <c r="E179" s="12" t="e">
        <f>#REF!</f>
        <v>#REF!</v>
      </c>
    </row>
    <row r="180" spans="2:5" ht="15" customHeight="1" x14ac:dyDescent="0.25">
      <c r="B180" s="300"/>
      <c r="C180" s="296" t="s">
        <v>31</v>
      </c>
      <c r="D180" s="296"/>
      <c r="E180" s="12" t="e">
        <f>#REF!</f>
        <v>#REF!</v>
      </c>
    </row>
    <row r="181" spans="2:5" ht="15" customHeight="1" x14ac:dyDescent="0.25">
      <c r="B181" s="300"/>
      <c r="C181" s="296" t="s">
        <v>33</v>
      </c>
      <c r="D181" s="296"/>
      <c r="E181" s="12" t="e">
        <f>#REF!</f>
        <v>#REF!</v>
      </c>
    </row>
    <row r="182" spans="2:5" ht="15" customHeight="1" x14ac:dyDescent="0.25">
      <c r="B182" s="300"/>
      <c r="C182" s="296" t="s">
        <v>35</v>
      </c>
      <c r="D182" s="296"/>
      <c r="E182" s="12" t="e">
        <f>#REF!</f>
        <v>#REF!</v>
      </c>
    </row>
    <row r="183" spans="2:5" ht="15" customHeight="1" x14ac:dyDescent="0.25">
      <c r="B183" s="300"/>
      <c r="C183" s="296" t="s">
        <v>37</v>
      </c>
      <c r="D183" s="296"/>
      <c r="E183" s="12" t="e">
        <f>#REF!</f>
        <v>#REF!</v>
      </c>
    </row>
    <row r="184" spans="2:5" ht="15" customHeight="1" x14ac:dyDescent="0.25">
      <c r="B184" s="300"/>
      <c r="C184" s="296" t="s">
        <v>39</v>
      </c>
      <c r="D184" s="296"/>
      <c r="E184" s="12" t="e">
        <f>#REF!</f>
        <v>#REF!</v>
      </c>
    </row>
    <row r="185" spans="2:5" ht="15" customHeight="1" x14ac:dyDescent="0.25">
      <c r="B185" s="300"/>
      <c r="C185" s="296" t="s">
        <v>40</v>
      </c>
      <c r="D185" s="296"/>
      <c r="E185" s="12" t="e">
        <f>#REF!</f>
        <v>#REF!</v>
      </c>
    </row>
    <row r="186" spans="2:5" ht="15" customHeight="1" x14ac:dyDescent="0.25">
      <c r="B186" s="300"/>
      <c r="C186" s="296" t="s">
        <v>42</v>
      </c>
      <c r="D186" s="296"/>
      <c r="E186" s="12" t="e">
        <f>#REF!</f>
        <v>#REF!</v>
      </c>
    </row>
    <row r="187" spans="2:5" ht="15" customHeight="1" x14ac:dyDescent="0.25">
      <c r="B187" s="300"/>
      <c r="C187" s="299" t="s">
        <v>5</v>
      </c>
      <c r="D187" s="299"/>
      <c r="E187" s="11" t="e">
        <f>#REF!</f>
        <v>#REF!</v>
      </c>
    </row>
    <row r="188" spans="2:5" x14ac:dyDescent="0.25">
      <c r="B188" s="300"/>
      <c r="C188" s="299" t="s">
        <v>7</v>
      </c>
      <c r="D188" s="299"/>
      <c r="E188" s="11" t="e">
        <f>#REF!</f>
        <v>#REF!</v>
      </c>
    </row>
    <row r="189" spans="2:5" x14ac:dyDescent="0.25">
      <c r="B189" s="300"/>
      <c r="C189" s="296" t="s">
        <v>9</v>
      </c>
      <c r="D189" s="296"/>
      <c r="E189" s="12" t="e">
        <f>#REF!</f>
        <v>#REF!</v>
      </c>
    </row>
    <row r="190" spans="2:5" x14ac:dyDescent="0.25">
      <c r="B190" s="300"/>
      <c r="C190" s="296" t="s">
        <v>11</v>
      </c>
      <c r="D190" s="296"/>
      <c r="E190" s="12" t="e">
        <f>#REF!</f>
        <v>#REF!</v>
      </c>
    </row>
    <row r="191" spans="2:5" ht="15" customHeight="1" x14ac:dyDescent="0.25">
      <c r="B191" s="300"/>
      <c r="C191" s="296" t="s">
        <v>13</v>
      </c>
      <c r="D191" s="296"/>
      <c r="E191" s="12" t="e">
        <f>#REF!</f>
        <v>#REF!</v>
      </c>
    </row>
    <row r="192" spans="2:5" x14ac:dyDescent="0.25">
      <c r="B192" s="300"/>
      <c r="C192" s="296" t="s">
        <v>15</v>
      </c>
      <c r="D192" s="296"/>
      <c r="E192" s="12" t="e">
        <f>#REF!</f>
        <v>#REF!</v>
      </c>
    </row>
    <row r="193" spans="2:5" ht="15" customHeight="1" x14ac:dyDescent="0.25">
      <c r="B193" s="300"/>
      <c r="C193" s="296" t="s">
        <v>17</v>
      </c>
      <c r="D193" s="296"/>
      <c r="E193" s="12" t="e">
        <f>#REF!</f>
        <v>#REF!</v>
      </c>
    </row>
    <row r="194" spans="2:5" ht="15" customHeight="1" x14ac:dyDescent="0.25">
      <c r="B194" s="300"/>
      <c r="C194" s="296" t="s">
        <v>19</v>
      </c>
      <c r="D194" s="296"/>
      <c r="E194" s="12" t="e">
        <f>#REF!</f>
        <v>#REF!</v>
      </c>
    </row>
    <row r="195" spans="2:5" ht="15" customHeight="1" x14ac:dyDescent="0.25">
      <c r="B195" s="300"/>
      <c r="C195" s="296" t="s">
        <v>21</v>
      </c>
      <c r="D195" s="296"/>
      <c r="E195" s="12" t="e">
        <f>#REF!</f>
        <v>#REF!</v>
      </c>
    </row>
    <row r="196" spans="2:5" ht="15" customHeight="1" x14ac:dyDescent="0.25">
      <c r="B196" s="300"/>
      <c r="C196" s="296" t="s">
        <v>22</v>
      </c>
      <c r="D196" s="296"/>
      <c r="E196" s="12" t="e">
        <f>#REF!</f>
        <v>#REF!</v>
      </c>
    </row>
    <row r="197" spans="2:5" ht="15" customHeight="1" x14ac:dyDescent="0.25">
      <c r="B197" s="300"/>
      <c r="C197" s="302" t="s">
        <v>26</v>
      </c>
      <c r="D197" s="302"/>
      <c r="E197" s="11" t="e">
        <f>#REF!</f>
        <v>#REF!</v>
      </c>
    </row>
    <row r="198" spans="2:5" ht="15" customHeight="1" x14ac:dyDescent="0.25">
      <c r="B198" s="300"/>
      <c r="C198" s="296" t="s">
        <v>28</v>
      </c>
      <c r="D198" s="296"/>
      <c r="E198" s="12" t="e">
        <f>#REF!</f>
        <v>#REF!</v>
      </c>
    </row>
    <row r="199" spans="2:5" ht="15" customHeight="1" x14ac:dyDescent="0.25">
      <c r="B199" s="300"/>
      <c r="C199" s="296" t="s">
        <v>30</v>
      </c>
      <c r="D199" s="296"/>
      <c r="E199" s="12" t="e">
        <f>#REF!</f>
        <v>#REF!</v>
      </c>
    </row>
    <row r="200" spans="2:5" ht="15" customHeight="1" x14ac:dyDescent="0.25">
      <c r="B200" s="300"/>
      <c r="C200" s="296" t="s">
        <v>32</v>
      </c>
      <c r="D200" s="296"/>
      <c r="E200" s="12" t="e">
        <f>#REF!</f>
        <v>#REF!</v>
      </c>
    </row>
    <row r="201" spans="2:5" x14ac:dyDescent="0.25">
      <c r="B201" s="300"/>
      <c r="C201" s="296" t="s">
        <v>34</v>
      </c>
      <c r="D201" s="296"/>
      <c r="E201" s="12" t="e">
        <f>#REF!</f>
        <v>#REF!</v>
      </c>
    </row>
    <row r="202" spans="2:5" ht="15" customHeight="1" x14ac:dyDescent="0.25">
      <c r="B202" s="300"/>
      <c r="C202" s="296" t="s">
        <v>36</v>
      </c>
      <c r="D202" s="296"/>
      <c r="E202" s="12" t="e">
        <f>#REF!</f>
        <v>#REF!</v>
      </c>
    </row>
    <row r="203" spans="2:5" x14ac:dyDescent="0.25">
      <c r="B203" s="300"/>
      <c r="C203" s="296" t="s">
        <v>38</v>
      </c>
      <c r="D203" s="296"/>
      <c r="E203" s="12" t="e">
        <f>#REF!</f>
        <v>#REF!</v>
      </c>
    </row>
    <row r="204" spans="2:5" ht="15" customHeight="1" x14ac:dyDescent="0.25">
      <c r="B204" s="300"/>
      <c r="C204" s="299" t="s">
        <v>45</v>
      </c>
      <c r="D204" s="299"/>
      <c r="E204" s="11" t="e">
        <f>#REF!</f>
        <v>#REF!</v>
      </c>
    </row>
    <row r="205" spans="2:5" ht="15" customHeight="1" x14ac:dyDescent="0.25">
      <c r="B205" s="300"/>
      <c r="C205" s="299" t="s">
        <v>47</v>
      </c>
      <c r="D205" s="299"/>
      <c r="E205" s="11" t="e">
        <f>#REF!</f>
        <v>#REF!</v>
      </c>
    </row>
    <row r="206" spans="2:5" ht="15" customHeight="1" x14ac:dyDescent="0.25">
      <c r="B206" s="300"/>
      <c r="C206" s="296" t="s">
        <v>48</v>
      </c>
      <c r="D206" s="296"/>
      <c r="E206" s="12" t="e">
        <f>#REF!</f>
        <v>#REF!</v>
      </c>
    </row>
    <row r="207" spans="2:5" ht="15" customHeight="1" x14ac:dyDescent="0.25">
      <c r="B207" s="300"/>
      <c r="C207" s="296" t="s">
        <v>49</v>
      </c>
      <c r="D207" s="296"/>
      <c r="E207" s="12" t="e">
        <f>#REF!</f>
        <v>#REF!</v>
      </c>
    </row>
    <row r="208" spans="2:5" ht="15" customHeight="1" x14ac:dyDescent="0.25">
      <c r="B208" s="300"/>
      <c r="C208" s="296" t="s">
        <v>50</v>
      </c>
      <c r="D208" s="296"/>
      <c r="E208" s="12" t="e">
        <f>#REF!</f>
        <v>#REF!</v>
      </c>
    </row>
    <row r="209" spans="2:5" ht="15" customHeight="1" x14ac:dyDescent="0.25">
      <c r="B209" s="300"/>
      <c r="C209" s="299" t="s">
        <v>51</v>
      </c>
      <c r="D209" s="299"/>
      <c r="E209" s="11" t="e">
        <f>#REF!</f>
        <v>#REF!</v>
      </c>
    </row>
    <row r="210" spans="2:5" x14ac:dyDescent="0.25">
      <c r="B210" s="300"/>
      <c r="C210" s="296" t="s">
        <v>52</v>
      </c>
      <c r="D210" s="296"/>
      <c r="E210" s="12" t="e">
        <f>#REF!</f>
        <v>#REF!</v>
      </c>
    </row>
    <row r="211" spans="2:5" ht="15" customHeight="1" x14ac:dyDescent="0.25">
      <c r="B211" s="300"/>
      <c r="C211" s="296" t="s">
        <v>53</v>
      </c>
      <c r="D211" s="296"/>
      <c r="E211" s="12" t="e">
        <f>#REF!</f>
        <v>#REF!</v>
      </c>
    </row>
    <row r="212" spans="2:5" x14ac:dyDescent="0.25">
      <c r="B212" s="300"/>
      <c r="C212" s="296" t="s">
        <v>54</v>
      </c>
      <c r="D212" s="296"/>
      <c r="E212" s="12" t="e">
        <f>#REF!</f>
        <v>#REF!</v>
      </c>
    </row>
    <row r="213" spans="2:5" ht="15" customHeight="1" x14ac:dyDescent="0.25">
      <c r="B213" s="300"/>
      <c r="C213" s="296" t="s">
        <v>55</v>
      </c>
      <c r="D213" s="296"/>
      <c r="E213" s="12" t="e">
        <f>#REF!</f>
        <v>#REF!</v>
      </c>
    </row>
    <row r="214" spans="2:5" x14ac:dyDescent="0.25">
      <c r="B214" s="300"/>
      <c r="C214" s="296" t="s">
        <v>56</v>
      </c>
      <c r="D214" s="296"/>
      <c r="E214" s="12" t="e">
        <f>#REF!</f>
        <v>#REF!</v>
      </c>
    </row>
    <row r="215" spans="2:5" x14ac:dyDescent="0.25">
      <c r="B215" s="300"/>
      <c r="C215" s="299" t="s">
        <v>57</v>
      </c>
      <c r="D215" s="299"/>
      <c r="E215" s="11" t="e">
        <f>#REF!</f>
        <v>#REF!</v>
      </c>
    </row>
    <row r="216" spans="2:5" x14ac:dyDescent="0.25">
      <c r="B216" s="300"/>
      <c r="C216" s="296" t="s">
        <v>58</v>
      </c>
      <c r="D216" s="296"/>
      <c r="E216" s="12" t="e">
        <f>#REF!</f>
        <v>#REF!</v>
      </c>
    </row>
    <row r="217" spans="2:5" ht="15.75" thickBot="1" x14ac:dyDescent="0.3">
      <c r="B217" s="301"/>
      <c r="C217" s="296" t="s">
        <v>59</v>
      </c>
      <c r="D217" s="296"/>
      <c r="E217" s="12" t="e">
        <f>#REF!</f>
        <v>#REF!</v>
      </c>
    </row>
    <row r="218" spans="2:5" x14ac:dyDescent="0.25">
      <c r="C218" s="304" t="s">
        <v>72</v>
      </c>
      <c r="D218" s="5" t="s">
        <v>62</v>
      </c>
      <c r="E218" s="15" t="e">
        <f>#REF!</f>
        <v>#REF!</v>
      </c>
    </row>
    <row r="219" spans="2:5" x14ac:dyDescent="0.25">
      <c r="C219" s="305"/>
      <c r="D219" s="5" t="s">
        <v>63</v>
      </c>
      <c r="E219" s="15" t="e">
        <f>#REF!</f>
        <v>#REF!</v>
      </c>
    </row>
    <row r="220" spans="2:5" x14ac:dyDescent="0.25">
      <c r="C220" s="305" t="s">
        <v>71</v>
      </c>
      <c r="D220" s="5" t="s">
        <v>62</v>
      </c>
      <c r="E220" s="15" t="e">
        <f>#REF!</f>
        <v>#REF!</v>
      </c>
    </row>
    <row r="221" spans="2:5" x14ac:dyDescent="0.25">
      <c r="C221" s="30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18" sqref="B18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30"/>
      <c r="B1" s="330"/>
      <c r="C1" s="330"/>
      <c r="D1" s="172"/>
    </row>
    <row r="2" spans="1:4" ht="15.75" x14ac:dyDescent="0.25">
      <c r="A2" s="331" t="s">
        <v>466</v>
      </c>
      <c r="B2" s="331"/>
      <c r="C2" s="331"/>
      <c r="D2" s="172"/>
    </row>
    <row r="3" spans="1:4" ht="12.75" x14ac:dyDescent="0.2">
      <c r="A3" s="377" t="s">
        <v>229</v>
      </c>
      <c r="B3" s="377"/>
      <c r="C3" s="377"/>
      <c r="D3" s="172"/>
    </row>
    <row r="4" spans="1:4" ht="12.75" x14ac:dyDescent="0.2">
      <c r="A4" s="377" t="str">
        <f>+CAdmon!$A$6</f>
        <v>Del 1 de enero al 31 de diciembre de 2019</v>
      </c>
      <c r="B4" s="377"/>
      <c r="C4" s="377"/>
    </row>
    <row r="5" spans="1:4" x14ac:dyDescent="0.2">
      <c r="A5" s="16"/>
      <c r="B5" s="16"/>
    </row>
    <row r="6" spans="1:4" x14ac:dyDescent="0.2">
      <c r="A6" s="171" t="s">
        <v>218</v>
      </c>
      <c r="B6" s="171" t="s">
        <v>108</v>
      </c>
      <c r="C6" s="171" t="s">
        <v>129</v>
      </c>
    </row>
    <row r="7" spans="1:4" x14ac:dyDescent="0.2">
      <c r="A7" s="374" t="s">
        <v>225</v>
      </c>
      <c r="B7" s="375"/>
      <c r="C7" s="376"/>
    </row>
    <row r="8" spans="1:4" x14ac:dyDescent="0.2">
      <c r="A8" s="56"/>
      <c r="B8" s="56"/>
      <c r="C8" s="57"/>
    </row>
    <row r="9" spans="1:4" x14ac:dyDescent="0.2">
      <c r="A9" s="56"/>
      <c r="B9" s="56"/>
      <c r="C9" s="57"/>
    </row>
    <row r="10" spans="1:4" x14ac:dyDescent="0.2">
      <c r="A10" s="170" t="s">
        <v>291</v>
      </c>
      <c r="B10" s="56"/>
      <c r="C10" s="57"/>
    </row>
    <row r="11" spans="1:4" x14ac:dyDescent="0.2">
      <c r="A11" s="56"/>
      <c r="B11" s="56"/>
      <c r="C11" s="57"/>
    </row>
    <row r="12" spans="1:4" x14ac:dyDescent="0.2">
      <c r="A12" s="56"/>
      <c r="B12" s="56"/>
      <c r="C12" s="57"/>
    </row>
    <row r="13" spans="1:4" x14ac:dyDescent="0.2">
      <c r="A13" s="56"/>
      <c r="B13" s="56"/>
      <c r="C13" s="57"/>
    </row>
    <row r="14" spans="1:4" x14ac:dyDescent="0.2">
      <c r="A14" s="56"/>
      <c r="B14" s="56"/>
      <c r="C14" s="57"/>
    </row>
    <row r="15" spans="1:4" x14ac:dyDescent="0.2">
      <c r="A15" s="56"/>
      <c r="B15" s="56"/>
      <c r="C15" s="57"/>
    </row>
    <row r="16" spans="1:4" x14ac:dyDescent="0.2">
      <c r="A16" s="56"/>
      <c r="B16" s="56"/>
      <c r="C16" s="57"/>
    </row>
    <row r="17" spans="1:3" x14ac:dyDescent="0.2">
      <c r="A17" s="56"/>
      <c r="B17" s="56"/>
      <c r="C17" s="57"/>
    </row>
    <row r="18" spans="1:3" x14ac:dyDescent="0.2">
      <c r="A18" s="149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74" t="s">
        <v>227</v>
      </c>
      <c r="B20" s="375"/>
      <c r="C20" s="376"/>
    </row>
    <row r="21" spans="1:3" x14ac:dyDescent="0.2">
      <c r="A21" s="56"/>
      <c r="B21" s="56"/>
      <c r="C21" s="57"/>
    </row>
    <row r="22" spans="1:3" x14ac:dyDescent="0.2">
      <c r="A22" s="56"/>
      <c r="B22" s="56"/>
      <c r="C22" s="57"/>
    </row>
    <row r="23" spans="1:3" x14ac:dyDescent="0.2">
      <c r="A23" s="170" t="s">
        <v>291</v>
      </c>
      <c r="B23" s="56"/>
      <c r="C23" s="57"/>
    </row>
    <row r="24" spans="1:3" x14ac:dyDescent="0.2">
      <c r="A24" s="56"/>
      <c r="B24" s="56"/>
      <c r="C24" s="57"/>
    </row>
    <row r="25" spans="1:3" x14ac:dyDescent="0.2">
      <c r="A25" s="56"/>
      <c r="B25" s="56"/>
      <c r="C25" s="57"/>
    </row>
    <row r="26" spans="1:3" x14ac:dyDescent="0.2">
      <c r="A26" s="56"/>
      <c r="B26" s="56"/>
      <c r="C26" s="57"/>
    </row>
    <row r="27" spans="1:3" x14ac:dyDescent="0.2">
      <c r="A27" s="56"/>
      <c r="B27" s="56"/>
      <c r="C27" s="57"/>
    </row>
    <row r="28" spans="1:3" x14ac:dyDescent="0.2">
      <c r="A28" s="56"/>
      <c r="B28" s="56"/>
      <c r="C28" s="57"/>
    </row>
    <row r="29" spans="1:3" x14ac:dyDescent="0.2">
      <c r="A29" s="56"/>
      <c r="B29" s="56"/>
      <c r="C29" s="57"/>
    </row>
    <row r="30" spans="1:3" x14ac:dyDescent="0.2">
      <c r="A30" s="56"/>
      <c r="B30" s="56"/>
      <c r="C30" s="57"/>
    </row>
    <row r="31" spans="1:3" x14ac:dyDescent="0.2">
      <c r="A31" s="56"/>
      <c r="B31" s="56"/>
      <c r="C31" s="57"/>
    </row>
    <row r="32" spans="1:3" x14ac:dyDescent="0.2">
      <c r="A32" s="56"/>
      <c r="B32" s="56"/>
      <c r="C32" s="57"/>
    </row>
    <row r="33" spans="1:3" x14ac:dyDescent="0.2">
      <c r="A33" s="149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9" t="s">
        <v>97</v>
      </c>
      <c r="B35" s="150">
        <f>+B18+B33</f>
        <v>0</v>
      </c>
      <c r="C35" s="150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E12" sqref="E12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30"/>
      <c r="C2" s="330"/>
      <c r="D2" s="330"/>
      <c r="E2" s="330"/>
      <c r="F2" s="330"/>
      <c r="G2" s="330"/>
      <c r="H2" s="330"/>
      <c r="I2" s="330"/>
      <c r="J2" s="330"/>
    </row>
    <row r="3" spans="2:10" ht="15.75" x14ac:dyDescent="0.25">
      <c r="B3" s="331" t="s">
        <v>466</v>
      </c>
      <c r="C3" s="331"/>
      <c r="D3" s="331"/>
      <c r="E3" s="331"/>
      <c r="F3" s="331"/>
      <c r="G3" s="331"/>
      <c r="H3" s="331"/>
      <c r="I3" s="331"/>
      <c r="J3" s="331"/>
    </row>
    <row r="4" spans="2:10" x14ac:dyDescent="0.25">
      <c r="B4" s="332" t="s">
        <v>232</v>
      </c>
      <c r="C4" s="332"/>
      <c r="D4" s="332"/>
      <c r="E4" s="332"/>
      <c r="F4" s="332"/>
      <c r="G4" s="332"/>
      <c r="H4" s="332"/>
      <c r="I4" s="332"/>
      <c r="J4" s="332"/>
    </row>
    <row r="5" spans="2:10" x14ac:dyDescent="0.25">
      <c r="B5" s="332" t="str">
        <f>+CAdmon!$A$6</f>
        <v>Del 1 de enero al 31 de diciembre de 2019</v>
      </c>
      <c r="C5" s="332"/>
      <c r="D5" s="332"/>
      <c r="E5" s="332"/>
      <c r="F5" s="332"/>
      <c r="G5" s="332"/>
      <c r="H5" s="332"/>
      <c r="I5" s="332"/>
      <c r="J5" s="332"/>
    </row>
    <row r="6" spans="2:10" s="18" customFormat="1" ht="7.5" customHeight="1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0" x14ac:dyDescent="0.25">
      <c r="B7" s="352" t="s">
        <v>73</v>
      </c>
      <c r="C7" s="385"/>
      <c r="D7" s="353"/>
      <c r="E7" s="329" t="s">
        <v>134</v>
      </c>
      <c r="F7" s="329"/>
      <c r="G7" s="329"/>
      <c r="H7" s="329"/>
      <c r="I7" s="329"/>
      <c r="J7" s="329" t="s">
        <v>126</v>
      </c>
    </row>
    <row r="8" spans="2:10" ht="22.5" x14ac:dyDescent="0.25">
      <c r="B8" s="354"/>
      <c r="C8" s="386"/>
      <c r="D8" s="355"/>
      <c r="E8" s="152" t="s">
        <v>127</v>
      </c>
      <c r="F8" s="152" t="s">
        <v>128</v>
      </c>
      <c r="G8" s="152" t="s">
        <v>107</v>
      </c>
      <c r="H8" s="152" t="s">
        <v>108</v>
      </c>
      <c r="I8" s="152" t="s">
        <v>129</v>
      </c>
      <c r="J8" s="329"/>
    </row>
    <row r="9" spans="2:10" ht="15.75" customHeight="1" x14ac:dyDescent="0.25">
      <c r="B9" s="356"/>
      <c r="C9" s="387"/>
      <c r="D9" s="357"/>
      <c r="E9" s="152">
        <v>1</v>
      </c>
      <c r="F9" s="152">
        <v>2</v>
      </c>
      <c r="G9" s="152" t="s">
        <v>130</v>
      </c>
      <c r="H9" s="152">
        <v>4</v>
      </c>
      <c r="I9" s="152">
        <v>5</v>
      </c>
      <c r="J9" s="152" t="s">
        <v>131</v>
      </c>
    </row>
    <row r="10" spans="2:10" ht="15" customHeight="1" x14ac:dyDescent="0.25">
      <c r="B10" s="380" t="s">
        <v>233</v>
      </c>
      <c r="C10" s="381"/>
      <c r="D10" s="382"/>
      <c r="E10" s="51"/>
      <c r="F10" s="30"/>
      <c r="G10" s="30"/>
      <c r="H10" s="30"/>
      <c r="I10" s="30"/>
      <c r="J10" s="30"/>
    </row>
    <row r="11" spans="2:10" x14ac:dyDescent="0.25">
      <c r="B11" s="19"/>
      <c r="C11" s="378" t="s">
        <v>234</v>
      </c>
      <c r="D11" s="379"/>
      <c r="E11" s="222">
        <f>+E12+E13</f>
        <v>0</v>
      </c>
      <c r="F11" s="222">
        <f>+F12+F13</f>
        <v>0</v>
      </c>
      <c r="G11" s="212">
        <f>+E11+F11</f>
        <v>0</v>
      </c>
      <c r="H11" s="222">
        <f>+H12+H13</f>
        <v>0</v>
      </c>
      <c r="I11" s="222">
        <f>+I12+I13</f>
        <v>0</v>
      </c>
      <c r="J11" s="212">
        <f>+G11-H11</f>
        <v>0</v>
      </c>
    </row>
    <row r="12" spans="2:10" x14ac:dyDescent="0.25">
      <c r="B12" s="19"/>
      <c r="C12" s="47"/>
      <c r="D12" s="20" t="s">
        <v>235</v>
      </c>
      <c r="E12" s="223"/>
      <c r="F12" s="211"/>
      <c r="G12" s="211">
        <f t="shared" ref="G12:G39" si="0">+E12+F12</f>
        <v>0</v>
      </c>
      <c r="H12" s="211"/>
      <c r="I12" s="211"/>
      <c r="J12" s="211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23"/>
      <c r="F13" s="211"/>
      <c r="G13" s="211">
        <f t="shared" si="0"/>
        <v>0</v>
      </c>
      <c r="H13" s="211"/>
      <c r="I13" s="211"/>
      <c r="J13" s="211">
        <f t="shared" si="1"/>
        <v>0</v>
      </c>
    </row>
    <row r="14" spans="2:10" x14ac:dyDescent="0.25">
      <c r="B14" s="19"/>
      <c r="C14" s="378" t="s">
        <v>237</v>
      </c>
      <c r="D14" s="379"/>
      <c r="E14" s="224">
        <f>SUM(E15:E22)</f>
        <v>999999999.99499989</v>
      </c>
      <c r="F14" s="224">
        <f>SUM(F15:F22)</f>
        <v>39503902.109999999</v>
      </c>
      <c r="G14" s="209">
        <f t="shared" si="0"/>
        <v>1039503902.1049999</v>
      </c>
      <c r="H14" s="224">
        <f>SUM(H15:H22)</f>
        <v>1019384043.9300001</v>
      </c>
      <c r="I14" s="224">
        <f>SUM(I15:I22)</f>
        <v>989178888</v>
      </c>
      <c r="J14" s="209">
        <f t="shared" si="1"/>
        <v>20119858.174999833</v>
      </c>
    </row>
    <row r="15" spans="2:10" x14ac:dyDescent="0.25">
      <c r="B15" s="19"/>
      <c r="C15" s="47"/>
      <c r="D15" s="20" t="s">
        <v>238</v>
      </c>
      <c r="E15" s="225">
        <f>SUM(COG!D82)</f>
        <v>999999999.99499989</v>
      </c>
      <c r="F15" s="225">
        <f>+COG!E82</f>
        <v>39503902.109999999</v>
      </c>
      <c r="G15" s="210">
        <f t="shared" si="0"/>
        <v>1039503902.1049999</v>
      </c>
      <c r="H15" s="225">
        <f>SUM(COG!G82)</f>
        <v>1019384043.9300001</v>
      </c>
      <c r="I15" s="225">
        <f>SUM(COG!H82)</f>
        <v>989178888</v>
      </c>
      <c r="J15" s="210">
        <f>+G15-H15</f>
        <v>20119858.174999833</v>
      </c>
    </row>
    <row r="16" spans="2:10" x14ac:dyDescent="0.25">
      <c r="B16" s="19"/>
      <c r="C16" s="47"/>
      <c r="D16" s="20" t="s">
        <v>239</v>
      </c>
      <c r="E16" s="223"/>
      <c r="F16" s="211"/>
      <c r="G16" s="211">
        <f t="shared" si="0"/>
        <v>0</v>
      </c>
      <c r="H16" s="211"/>
      <c r="I16" s="211"/>
      <c r="J16" s="211">
        <f t="shared" si="1"/>
        <v>0</v>
      </c>
    </row>
    <row r="17" spans="2:10" x14ac:dyDescent="0.25">
      <c r="B17" s="19"/>
      <c r="C17" s="47"/>
      <c r="D17" s="20" t="s">
        <v>240</v>
      </c>
      <c r="E17" s="223"/>
      <c r="F17" s="211"/>
      <c r="G17" s="211">
        <f t="shared" si="0"/>
        <v>0</v>
      </c>
      <c r="H17" s="211"/>
      <c r="I17" s="211"/>
      <c r="J17" s="211">
        <f t="shared" si="1"/>
        <v>0</v>
      </c>
    </row>
    <row r="18" spans="2:10" x14ac:dyDescent="0.25">
      <c r="B18" s="19"/>
      <c r="C18" s="47"/>
      <c r="D18" s="20" t="s">
        <v>241</v>
      </c>
      <c r="E18" s="223"/>
      <c r="F18" s="211"/>
      <c r="G18" s="211">
        <f t="shared" si="0"/>
        <v>0</v>
      </c>
      <c r="H18" s="211"/>
      <c r="I18" s="211"/>
      <c r="J18" s="211">
        <f t="shared" si="1"/>
        <v>0</v>
      </c>
    </row>
    <row r="19" spans="2:10" x14ac:dyDescent="0.25">
      <c r="B19" s="19"/>
      <c r="C19" s="47"/>
      <c r="D19" s="20" t="s">
        <v>242</v>
      </c>
      <c r="E19" s="223"/>
      <c r="F19" s="211"/>
      <c r="G19" s="211">
        <f t="shared" si="0"/>
        <v>0</v>
      </c>
      <c r="H19" s="211"/>
      <c r="I19" s="211"/>
      <c r="J19" s="211">
        <f t="shared" si="1"/>
        <v>0</v>
      </c>
    </row>
    <row r="20" spans="2:10" x14ac:dyDescent="0.25">
      <c r="B20" s="19"/>
      <c r="C20" s="47"/>
      <c r="D20" s="20" t="s">
        <v>243</v>
      </c>
      <c r="E20" s="223"/>
      <c r="F20" s="211"/>
      <c r="G20" s="211">
        <f t="shared" si="0"/>
        <v>0</v>
      </c>
      <c r="H20" s="211"/>
      <c r="I20" s="211"/>
      <c r="J20" s="211">
        <f t="shared" si="1"/>
        <v>0</v>
      </c>
    </row>
    <row r="21" spans="2:10" x14ac:dyDescent="0.25">
      <c r="B21" s="19"/>
      <c r="C21" s="47"/>
      <c r="D21" s="20" t="s">
        <v>244</v>
      </c>
      <c r="E21" s="223"/>
      <c r="F21" s="211"/>
      <c r="G21" s="211">
        <f t="shared" si="0"/>
        <v>0</v>
      </c>
      <c r="H21" s="211"/>
      <c r="I21" s="211"/>
      <c r="J21" s="211">
        <f t="shared" si="1"/>
        <v>0</v>
      </c>
    </row>
    <row r="22" spans="2:10" x14ac:dyDescent="0.25">
      <c r="B22" s="19"/>
      <c r="C22" s="47"/>
      <c r="D22" s="20" t="s">
        <v>245</v>
      </c>
      <c r="E22" s="223"/>
      <c r="F22" s="211"/>
      <c r="G22" s="211">
        <f t="shared" si="0"/>
        <v>0</v>
      </c>
      <c r="H22" s="211"/>
      <c r="I22" s="211"/>
      <c r="J22" s="211">
        <f t="shared" si="1"/>
        <v>0</v>
      </c>
    </row>
    <row r="23" spans="2:10" x14ac:dyDescent="0.25">
      <c r="B23" s="19"/>
      <c r="C23" s="378" t="s">
        <v>246</v>
      </c>
      <c r="D23" s="379"/>
      <c r="E23" s="222">
        <f>SUM(E24:E26)</f>
        <v>0</v>
      </c>
      <c r="F23" s="222">
        <f>SUM(F24:F26)</f>
        <v>0</v>
      </c>
      <c r="G23" s="212">
        <f t="shared" si="0"/>
        <v>0</v>
      </c>
      <c r="H23" s="222">
        <f>SUM(H24:H26)</f>
        <v>0</v>
      </c>
      <c r="I23" s="222">
        <f>SUM(I24:I26)</f>
        <v>0</v>
      </c>
      <c r="J23" s="212">
        <f t="shared" si="1"/>
        <v>0</v>
      </c>
    </row>
    <row r="24" spans="2:10" x14ac:dyDescent="0.25">
      <c r="B24" s="19"/>
      <c r="C24" s="47"/>
      <c r="D24" s="20" t="s">
        <v>247</v>
      </c>
      <c r="E24" s="223"/>
      <c r="F24" s="211"/>
      <c r="G24" s="211">
        <f t="shared" si="0"/>
        <v>0</v>
      </c>
      <c r="H24" s="211"/>
      <c r="I24" s="211"/>
      <c r="J24" s="211">
        <f t="shared" si="1"/>
        <v>0</v>
      </c>
    </row>
    <row r="25" spans="2:10" x14ac:dyDescent="0.25">
      <c r="B25" s="19"/>
      <c r="C25" s="47"/>
      <c r="D25" s="20" t="s">
        <v>248</v>
      </c>
      <c r="E25" s="223"/>
      <c r="F25" s="211"/>
      <c r="G25" s="211">
        <f t="shared" si="0"/>
        <v>0</v>
      </c>
      <c r="H25" s="211"/>
      <c r="I25" s="211"/>
      <c r="J25" s="211">
        <f t="shared" si="1"/>
        <v>0</v>
      </c>
    </row>
    <row r="26" spans="2:10" x14ac:dyDescent="0.25">
      <c r="B26" s="19"/>
      <c r="C26" s="47"/>
      <c r="D26" s="20" t="s">
        <v>249</v>
      </c>
      <c r="E26" s="223"/>
      <c r="F26" s="211"/>
      <c r="G26" s="211">
        <f t="shared" si="0"/>
        <v>0</v>
      </c>
      <c r="H26" s="211"/>
      <c r="I26" s="211"/>
      <c r="J26" s="211">
        <f t="shared" si="1"/>
        <v>0</v>
      </c>
    </row>
    <row r="27" spans="2:10" x14ac:dyDescent="0.25">
      <c r="B27" s="19"/>
      <c r="C27" s="378" t="s">
        <v>250</v>
      </c>
      <c r="D27" s="379"/>
      <c r="E27" s="222">
        <f>SUM(E28:E29)</f>
        <v>0</v>
      </c>
      <c r="F27" s="222">
        <f>SUM(F28:F29)</f>
        <v>0</v>
      </c>
      <c r="G27" s="212">
        <f t="shared" si="0"/>
        <v>0</v>
      </c>
      <c r="H27" s="222">
        <f>SUM(H28:H29)</f>
        <v>0</v>
      </c>
      <c r="I27" s="222">
        <f>SUM(I28:I29)</f>
        <v>0</v>
      </c>
      <c r="J27" s="212">
        <f t="shared" si="1"/>
        <v>0</v>
      </c>
    </row>
    <row r="28" spans="2:10" x14ac:dyDescent="0.25">
      <c r="B28" s="19"/>
      <c r="C28" s="47"/>
      <c r="D28" s="20" t="s">
        <v>251</v>
      </c>
      <c r="E28" s="223"/>
      <c r="F28" s="211"/>
      <c r="G28" s="211">
        <f t="shared" si="0"/>
        <v>0</v>
      </c>
      <c r="H28" s="211"/>
      <c r="I28" s="211"/>
      <c r="J28" s="211">
        <f t="shared" si="1"/>
        <v>0</v>
      </c>
    </row>
    <row r="29" spans="2:10" x14ac:dyDescent="0.25">
      <c r="B29" s="19"/>
      <c r="C29" s="47"/>
      <c r="D29" s="20" t="s">
        <v>252</v>
      </c>
      <c r="E29" s="223"/>
      <c r="F29" s="211"/>
      <c r="G29" s="211">
        <f t="shared" si="0"/>
        <v>0</v>
      </c>
      <c r="H29" s="211"/>
      <c r="I29" s="211"/>
      <c r="J29" s="211">
        <f t="shared" si="1"/>
        <v>0</v>
      </c>
    </row>
    <row r="30" spans="2:10" x14ac:dyDescent="0.25">
      <c r="B30" s="19"/>
      <c r="C30" s="378" t="s">
        <v>253</v>
      </c>
      <c r="D30" s="379"/>
      <c r="E30" s="222">
        <f>SUM(E31:E34)</f>
        <v>0</v>
      </c>
      <c r="F30" s="222">
        <f>SUM(F31:F34)</f>
        <v>0</v>
      </c>
      <c r="G30" s="212">
        <f t="shared" si="0"/>
        <v>0</v>
      </c>
      <c r="H30" s="222">
        <f>SUM(H31:H34)</f>
        <v>0</v>
      </c>
      <c r="I30" s="222">
        <f>SUM(I31:I34)</f>
        <v>0</v>
      </c>
      <c r="J30" s="212">
        <f t="shared" si="1"/>
        <v>0</v>
      </c>
    </row>
    <row r="31" spans="2:10" x14ac:dyDescent="0.25">
      <c r="B31" s="19"/>
      <c r="C31" s="47"/>
      <c r="D31" s="20" t="s">
        <v>254</v>
      </c>
      <c r="E31" s="223"/>
      <c r="F31" s="211"/>
      <c r="G31" s="211">
        <f t="shared" si="0"/>
        <v>0</v>
      </c>
      <c r="H31" s="211"/>
      <c r="I31" s="211"/>
      <c r="J31" s="211">
        <f t="shared" si="1"/>
        <v>0</v>
      </c>
    </row>
    <row r="32" spans="2:10" x14ac:dyDescent="0.25">
      <c r="B32" s="19"/>
      <c r="C32" s="47"/>
      <c r="D32" s="20" t="s">
        <v>255</v>
      </c>
      <c r="E32" s="223"/>
      <c r="F32" s="211"/>
      <c r="G32" s="211">
        <f t="shared" si="0"/>
        <v>0</v>
      </c>
      <c r="H32" s="211"/>
      <c r="I32" s="211"/>
      <c r="J32" s="211">
        <f t="shared" si="1"/>
        <v>0</v>
      </c>
    </row>
    <row r="33" spans="1:11" x14ac:dyDescent="0.25">
      <c r="B33" s="19"/>
      <c r="C33" s="47"/>
      <c r="D33" s="20" t="s">
        <v>256</v>
      </c>
      <c r="E33" s="223"/>
      <c r="F33" s="211"/>
      <c r="G33" s="211">
        <f t="shared" si="0"/>
        <v>0</v>
      </c>
      <c r="H33" s="211"/>
      <c r="I33" s="211"/>
      <c r="J33" s="211">
        <f t="shared" si="1"/>
        <v>0</v>
      </c>
    </row>
    <row r="34" spans="1:11" x14ac:dyDescent="0.25">
      <c r="B34" s="19"/>
      <c r="C34" s="47"/>
      <c r="D34" s="20" t="s">
        <v>257</v>
      </c>
      <c r="E34" s="223"/>
      <c r="F34" s="211"/>
      <c r="G34" s="211">
        <f t="shared" si="0"/>
        <v>0</v>
      </c>
      <c r="H34" s="211"/>
      <c r="I34" s="211"/>
      <c r="J34" s="211">
        <f t="shared" si="1"/>
        <v>0</v>
      </c>
    </row>
    <row r="35" spans="1:11" x14ac:dyDescent="0.25">
      <c r="B35" s="19"/>
      <c r="C35" s="378" t="s">
        <v>258</v>
      </c>
      <c r="D35" s="379"/>
      <c r="E35" s="222">
        <f>SUM(E36)</f>
        <v>0</v>
      </c>
      <c r="F35" s="222">
        <f>SUM(F36)</f>
        <v>0</v>
      </c>
      <c r="G35" s="212">
        <f t="shared" si="0"/>
        <v>0</v>
      </c>
      <c r="H35" s="222">
        <f>SUM(H36)</f>
        <v>0</v>
      </c>
      <c r="I35" s="222">
        <f>SUM(I36)</f>
        <v>0</v>
      </c>
      <c r="J35" s="212">
        <f t="shared" si="1"/>
        <v>0</v>
      </c>
    </row>
    <row r="36" spans="1:11" x14ac:dyDescent="0.25">
      <c r="B36" s="19"/>
      <c r="C36" s="47"/>
      <c r="D36" s="20" t="s">
        <v>259</v>
      </c>
      <c r="E36" s="223"/>
      <c r="F36" s="211"/>
      <c r="G36" s="211">
        <f t="shared" si="0"/>
        <v>0</v>
      </c>
      <c r="H36" s="211"/>
      <c r="I36" s="211"/>
      <c r="J36" s="211">
        <f t="shared" si="1"/>
        <v>0</v>
      </c>
    </row>
    <row r="37" spans="1:11" ht="15" customHeight="1" x14ac:dyDescent="0.25">
      <c r="B37" s="380" t="s">
        <v>260</v>
      </c>
      <c r="C37" s="381"/>
      <c r="D37" s="382"/>
      <c r="E37" s="223"/>
      <c r="F37" s="211"/>
      <c r="G37" s="211">
        <f t="shared" si="0"/>
        <v>0</v>
      </c>
      <c r="H37" s="211"/>
      <c r="I37" s="211"/>
      <c r="J37" s="211">
        <f t="shared" si="1"/>
        <v>0</v>
      </c>
    </row>
    <row r="38" spans="1:11" ht="15" customHeight="1" x14ac:dyDescent="0.25">
      <c r="B38" s="380" t="s">
        <v>261</v>
      </c>
      <c r="C38" s="381"/>
      <c r="D38" s="382"/>
      <c r="E38" s="223"/>
      <c r="F38" s="211"/>
      <c r="G38" s="211">
        <f t="shared" si="0"/>
        <v>0</v>
      </c>
      <c r="H38" s="211"/>
      <c r="I38" s="211"/>
      <c r="J38" s="211">
        <f t="shared" si="1"/>
        <v>0</v>
      </c>
    </row>
    <row r="39" spans="1:11" ht="15.75" customHeight="1" x14ac:dyDescent="0.25">
      <c r="B39" s="380" t="s">
        <v>262</v>
      </c>
      <c r="C39" s="381"/>
      <c r="D39" s="382"/>
      <c r="E39" s="223"/>
      <c r="F39" s="211"/>
      <c r="G39" s="211">
        <f t="shared" si="0"/>
        <v>0</v>
      </c>
      <c r="H39" s="211"/>
      <c r="I39" s="211"/>
      <c r="J39" s="211">
        <f t="shared" si="1"/>
        <v>0</v>
      </c>
    </row>
    <row r="40" spans="1:11" x14ac:dyDescent="0.25">
      <c r="B40" s="48"/>
      <c r="C40" s="49"/>
      <c r="D40" s="50"/>
      <c r="E40" s="226"/>
      <c r="F40" s="227"/>
      <c r="G40" s="227"/>
      <c r="H40" s="227"/>
      <c r="I40" s="227"/>
      <c r="J40" s="227"/>
    </row>
    <row r="41" spans="1:11" s="22" customFormat="1" x14ac:dyDescent="0.25">
      <c r="A41" s="21"/>
      <c r="B41" s="34"/>
      <c r="C41" s="383" t="s">
        <v>132</v>
      </c>
      <c r="D41" s="384"/>
      <c r="E41" s="228">
        <f t="shared" ref="E41:J41" si="2">+E11+E14+E23+E27+E30+E35+E37+E38+E39</f>
        <v>999999999.99499989</v>
      </c>
      <c r="F41" s="228">
        <f t="shared" si="2"/>
        <v>39503902.109999999</v>
      </c>
      <c r="G41" s="228">
        <f t="shared" si="2"/>
        <v>1039503902.1049999</v>
      </c>
      <c r="H41" s="228">
        <f t="shared" si="2"/>
        <v>1019384043.9300001</v>
      </c>
      <c r="I41" s="228">
        <f t="shared" si="2"/>
        <v>989178888</v>
      </c>
      <c r="J41" s="228">
        <f t="shared" si="2"/>
        <v>20119858.174999833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D23" sqref="D2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331" t="s">
        <v>466</v>
      </c>
      <c r="B1" s="331"/>
      <c r="C1" s="331"/>
      <c r="D1" s="331"/>
      <c r="E1" s="331"/>
    </row>
    <row r="2" spans="1:5" x14ac:dyDescent="0.25">
      <c r="A2" s="332" t="s">
        <v>263</v>
      </c>
      <c r="B2" s="332"/>
      <c r="C2" s="332"/>
      <c r="D2" s="332"/>
      <c r="E2" s="332"/>
    </row>
    <row r="3" spans="1:5" x14ac:dyDescent="0.25">
      <c r="A3" s="332" t="str">
        <f>+CAdmon!$A$6</f>
        <v>Del 1 de enero al 31 de diciembre de 2019</v>
      </c>
      <c r="B3" s="332"/>
      <c r="C3" s="332"/>
      <c r="D3" s="332"/>
      <c r="E3" s="332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328" t="s">
        <v>73</v>
      </c>
      <c r="B8" s="328"/>
      <c r="C8" s="152" t="s">
        <v>105</v>
      </c>
      <c r="D8" s="152" t="s">
        <v>108</v>
      </c>
      <c r="E8" s="152" t="s">
        <v>264</v>
      </c>
    </row>
    <row r="9" spans="1:5" ht="5.25" customHeight="1" thickBot="1" x14ac:dyDescent="0.3">
      <c r="A9" s="23"/>
      <c r="B9" s="24"/>
      <c r="C9" s="25"/>
      <c r="D9" s="25"/>
      <c r="E9" s="25"/>
    </row>
    <row r="10" spans="1:5" ht="15.75" thickBot="1" x14ac:dyDescent="0.3">
      <c r="A10" s="52"/>
      <c r="B10" s="53" t="s">
        <v>265</v>
      </c>
      <c r="C10" s="229">
        <f>+C11+C12</f>
        <v>1001501534.83</v>
      </c>
      <c r="D10" s="229">
        <f>+D11+D12</f>
        <v>1045133876.0000001</v>
      </c>
      <c r="E10" s="229">
        <f>+E11+E12</f>
        <v>903929667.29000008</v>
      </c>
    </row>
    <row r="11" spans="1:5" x14ac:dyDescent="0.25">
      <c r="A11" s="392" t="s">
        <v>285</v>
      </c>
      <c r="B11" s="393"/>
      <c r="C11" s="230">
        <f>+EAI!E29</f>
        <v>0</v>
      </c>
      <c r="D11" s="230">
        <f>+EAI!H29</f>
        <v>4382361.07</v>
      </c>
      <c r="E11" s="230">
        <f>+EAI!I29</f>
        <v>4382361.07</v>
      </c>
    </row>
    <row r="12" spans="1:5" x14ac:dyDescent="0.25">
      <c r="A12" s="394" t="s">
        <v>286</v>
      </c>
      <c r="B12" s="395"/>
      <c r="C12" s="231">
        <f>+EAI!E39</f>
        <v>1001501534.83</v>
      </c>
      <c r="D12" s="231">
        <f>+EAI!H39</f>
        <v>1040751514.9300001</v>
      </c>
      <c r="E12" s="231">
        <f>+EAI!I39</f>
        <v>899547306.22000003</v>
      </c>
    </row>
    <row r="13" spans="1:5" ht="6.75" customHeight="1" thickBot="1" x14ac:dyDescent="0.3">
      <c r="A13" s="19"/>
      <c r="B13" s="20"/>
      <c r="C13" s="210"/>
      <c r="D13" s="210"/>
      <c r="E13" s="210"/>
    </row>
    <row r="14" spans="1:5" ht="15.75" thickBot="1" x14ac:dyDescent="0.3">
      <c r="A14" s="54"/>
      <c r="B14" s="53" t="s">
        <v>266</v>
      </c>
      <c r="C14" s="229">
        <f>+C15+C16</f>
        <v>999999999.99499989</v>
      </c>
      <c r="D14" s="229">
        <f>+D15+D16</f>
        <v>1019384043.9300001</v>
      </c>
      <c r="E14" s="229">
        <f>+E15+E16</f>
        <v>989178888</v>
      </c>
    </row>
    <row r="15" spans="1:5" x14ac:dyDescent="0.25">
      <c r="A15" s="396" t="s">
        <v>287</v>
      </c>
      <c r="B15" s="397"/>
      <c r="C15" s="230">
        <f>SUM(COG!D82)</f>
        <v>999999999.99499989</v>
      </c>
      <c r="D15" s="230">
        <f>SUM(COG!G82)</f>
        <v>1019384043.9300001</v>
      </c>
      <c r="E15" s="230">
        <f>SUM(COG!H82)</f>
        <v>989178888</v>
      </c>
    </row>
    <row r="16" spans="1:5" x14ac:dyDescent="0.25">
      <c r="A16" s="394" t="s">
        <v>288</v>
      </c>
      <c r="B16" s="395"/>
      <c r="C16" s="231"/>
      <c r="D16" s="231"/>
      <c r="E16" s="231"/>
    </row>
    <row r="17" spans="1:5" ht="5.25" customHeight="1" thickBot="1" x14ac:dyDescent="0.3">
      <c r="A17" s="27"/>
      <c r="B17" s="26"/>
      <c r="C17" s="210"/>
      <c r="D17" s="210"/>
      <c r="E17" s="210"/>
    </row>
    <row r="18" spans="1:5" ht="15.75" thickBot="1" x14ac:dyDescent="0.3">
      <c r="A18" s="52"/>
      <c r="B18" s="53" t="s">
        <v>267</v>
      </c>
      <c r="C18" s="229">
        <f>+C10-C14</f>
        <v>1501534.8350001574</v>
      </c>
      <c r="D18" s="229">
        <f>+D10-D14</f>
        <v>25749832.070000052</v>
      </c>
      <c r="E18" s="229">
        <f>+E10-E14</f>
        <v>-85249220.709999919</v>
      </c>
    </row>
    <row r="19" spans="1:5" x14ac:dyDescent="0.25">
      <c r="A19" s="16"/>
      <c r="B19" s="16"/>
      <c r="C19" s="232"/>
      <c r="D19" s="232"/>
      <c r="E19" s="232"/>
    </row>
    <row r="20" spans="1:5" x14ac:dyDescent="0.25">
      <c r="A20" s="328" t="s">
        <v>73</v>
      </c>
      <c r="B20" s="328"/>
      <c r="C20" s="233" t="s">
        <v>105</v>
      </c>
      <c r="D20" s="233" t="s">
        <v>108</v>
      </c>
      <c r="E20" s="233" t="s">
        <v>264</v>
      </c>
    </row>
    <row r="21" spans="1:5" ht="6.75" customHeight="1" x14ac:dyDescent="0.25">
      <c r="A21" s="23"/>
      <c r="B21" s="24"/>
      <c r="C21" s="234"/>
      <c r="D21" s="234"/>
      <c r="E21" s="234"/>
    </row>
    <row r="22" spans="1:5" x14ac:dyDescent="0.25">
      <c r="A22" s="388" t="s">
        <v>268</v>
      </c>
      <c r="B22" s="389"/>
      <c r="C22" s="231">
        <f>+C18</f>
        <v>1501534.8350001574</v>
      </c>
      <c r="D22" s="231">
        <f>+D18</f>
        <v>25749832.070000052</v>
      </c>
      <c r="E22" s="231">
        <f>+E18</f>
        <v>-85249220.709999919</v>
      </c>
    </row>
    <row r="23" spans="1:5" ht="6" customHeight="1" x14ac:dyDescent="0.25">
      <c r="A23" s="19"/>
      <c r="B23" s="20"/>
      <c r="C23" s="211"/>
      <c r="D23" s="211"/>
      <c r="E23" s="211"/>
    </row>
    <row r="24" spans="1:5" x14ac:dyDescent="0.25">
      <c r="A24" s="388" t="s">
        <v>269</v>
      </c>
      <c r="B24" s="389"/>
      <c r="C24" s="235"/>
      <c r="D24" s="235"/>
      <c r="E24" s="235"/>
    </row>
    <row r="25" spans="1:5" ht="7.5" customHeight="1" thickBot="1" x14ac:dyDescent="0.3">
      <c r="A25" s="27"/>
      <c r="B25" s="26"/>
      <c r="C25" s="211"/>
      <c r="D25" s="211"/>
      <c r="E25" s="211"/>
    </row>
    <row r="26" spans="1:5" ht="15.75" thickBot="1" x14ac:dyDescent="0.3">
      <c r="A26" s="54"/>
      <c r="B26" s="53" t="s">
        <v>270</v>
      </c>
      <c r="C26" s="236">
        <f>+C22-C24</f>
        <v>1501534.8350001574</v>
      </c>
      <c r="D26" s="236">
        <f>+D22-D24</f>
        <v>25749832.070000052</v>
      </c>
      <c r="E26" s="236">
        <f>+E22-E24</f>
        <v>-85249220.709999919</v>
      </c>
    </row>
    <row r="27" spans="1:5" x14ac:dyDescent="0.25">
      <c r="A27" s="16"/>
      <c r="B27" s="16"/>
      <c r="C27" s="232"/>
      <c r="D27" s="232"/>
      <c r="E27" s="232"/>
    </row>
    <row r="28" spans="1:5" x14ac:dyDescent="0.25">
      <c r="A28" s="328" t="s">
        <v>73</v>
      </c>
      <c r="B28" s="328"/>
      <c r="C28" s="233" t="s">
        <v>105</v>
      </c>
      <c r="D28" s="233" t="s">
        <v>108</v>
      </c>
      <c r="E28" s="233" t="s">
        <v>264</v>
      </c>
    </row>
    <row r="29" spans="1:5" ht="5.25" customHeight="1" x14ac:dyDescent="0.25">
      <c r="A29" s="23"/>
      <c r="B29" s="24"/>
      <c r="C29" s="234"/>
      <c r="D29" s="234"/>
      <c r="E29" s="234"/>
    </row>
    <row r="30" spans="1:5" x14ac:dyDescent="0.25">
      <c r="A30" s="388" t="s">
        <v>271</v>
      </c>
      <c r="B30" s="389"/>
      <c r="C30" s="235">
        <f>SUM(EAI!E45)</f>
        <v>0</v>
      </c>
      <c r="D30" s="235">
        <f>SUM(EAI!I45)</f>
        <v>0</v>
      </c>
      <c r="E30" s="235">
        <v>0</v>
      </c>
    </row>
    <row r="31" spans="1:5" ht="5.25" customHeight="1" x14ac:dyDescent="0.25">
      <c r="A31" s="19"/>
      <c r="B31" s="20"/>
      <c r="C31" s="211"/>
      <c r="D31" s="211"/>
      <c r="E31" s="211"/>
    </row>
    <row r="32" spans="1:5" x14ac:dyDescent="0.25">
      <c r="A32" s="388" t="s">
        <v>272</v>
      </c>
      <c r="B32" s="389"/>
      <c r="C32" s="235"/>
      <c r="D32" s="235"/>
      <c r="E32" s="235"/>
    </row>
    <row r="33" spans="1:10" ht="3.75" customHeight="1" thickBot="1" x14ac:dyDescent="0.3">
      <c r="A33" s="28"/>
      <c r="B33" s="29"/>
      <c r="C33" s="227"/>
      <c r="D33" s="227"/>
      <c r="E33" s="227"/>
    </row>
    <row r="34" spans="1:10" ht="15.75" thickBot="1" x14ac:dyDescent="0.3">
      <c r="A34" s="54"/>
      <c r="B34" s="53" t="s">
        <v>273</v>
      </c>
      <c r="C34" s="237">
        <f>+C30-C32</f>
        <v>0</v>
      </c>
      <c r="D34" s="237">
        <f>+D30-D32</f>
        <v>0</v>
      </c>
      <c r="E34" s="237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90" t="s">
        <v>274</v>
      </c>
      <c r="C36" s="390"/>
      <c r="D36" s="390"/>
      <c r="E36" s="390"/>
    </row>
    <row r="37" spans="1:10" ht="28.5" customHeight="1" x14ac:dyDescent="0.25">
      <c r="A37" s="16"/>
      <c r="B37" s="390" t="s">
        <v>275</v>
      </c>
      <c r="C37" s="390"/>
      <c r="D37" s="390"/>
      <c r="E37" s="390"/>
    </row>
    <row r="38" spans="1:10" x14ac:dyDescent="0.25">
      <c r="A38" s="16"/>
      <c r="B38" s="391" t="s">
        <v>276</v>
      </c>
      <c r="C38" s="391"/>
      <c r="D38" s="391"/>
      <c r="E38" s="391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289"/>
  <sheetViews>
    <sheetView topLeftCell="A260" zoomScaleNormal="100" workbookViewId="0">
      <selection activeCell="F284" sqref="F284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2" style="60" customWidth="1"/>
    <col min="13" max="14" width="13.140625" bestFit="1" customWidth="1"/>
    <col min="15" max="15" width="14.140625" bestFit="1" customWidth="1"/>
    <col min="16" max="16" width="12" bestFit="1" customWidth="1"/>
    <col min="18" max="16384" width="11.42578125" style="60"/>
  </cols>
  <sheetData>
    <row r="1" spans="1:17" ht="15.75" customHeight="1" x14ac:dyDescent="0.25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7" ht="15.75" customHeight="1" x14ac:dyDescent="0.25">
      <c r="A2" s="371" t="s">
        <v>466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7" ht="15.75" customHeight="1" x14ac:dyDescent="0.25">
      <c r="A3" s="371" t="s">
        <v>123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7" ht="15.75" customHeight="1" x14ac:dyDescent="0.25">
      <c r="A4" s="371" t="s">
        <v>507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7" ht="15.75" customHeight="1" x14ac:dyDescent="0.25">
      <c r="A5" s="371" t="s">
        <v>576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7" ht="6.75" customHeight="1" thickBot="1" x14ac:dyDescent="0.3">
      <c r="D6" s="110"/>
      <c r="E6" s="111"/>
      <c r="F6" s="110"/>
    </row>
    <row r="7" spans="1:17" ht="24.75" customHeight="1" x14ac:dyDescent="0.25">
      <c r="A7" s="398" t="s">
        <v>292</v>
      </c>
      <c r="B7" s="400" t="s">
        <v>74</v>
      </c>
      <c r="C7" s="400" t="s">
        <v>293</v>
      </c>
      <c r="D7" s="400"/>
      <c r="E7" s="400"/>
      <c r="F7" s="402" t="s">
        <v>125</v>
      </c>
      <c r="G7" s="402"/>
      <c r="H7" s="402"/>
      <c r="I7" s="402"/>
      <c r="J7" s="402"/>
      <c r="K7" s="403" t="s">
        <v>126</v>
      </c>
    </row>
    <row r="8" spans="1:17" ht="28.5" customHeight="1" x14ac:dyDescent="0.25">
      <c r="A8" s="399"/>
      <c r="B8" s="401"/>
      <c r="C8" s="174" t="s">
        <v>294</v>
      </c>
      <c r="D8" s="174" t="s">
        <v>295</v>
      </c>
      <c r="E8" s="279" t="s">
        <v>296</v>
      </c>
      <c r="F8" s="278" t="s">
        <v>127</v>
      </c>
      <c r="G8" s="278" t="s">
        <v>128</v>
      </c>
      <c r="H8" s="278" t="s">
        <v>107</v>
      </c>
      <c r="I8" s="278" t="s">
        <v>108</v>
      </c>
      <c r="J8" s="278" t="s">
        <v>129</v>
      </c>
      <c r="K8" s="404"/>
      <c r="M8" s="277" t="s">
        <v>578</v>
      </c>
    </row>
    <row r="9" spans="1:17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80"/>
      <c r="M9"/>
      <c r="N9"/>
      <c r="O9"/>
      <c r="P9"/>
      <c r="Q9"/>
    </row>
    <row r="10" spans="1:17" s="66" customFormat="1" ht="15" customHeight="1" x14ac:dyDescent="0.25">
      <c r="A10" s="175" t="s">
        <v>297</v>
      </c>
      <c r="B10" s="176"/>
      <c r="C10" s="177"/>
      <c r="D10" s="177"/>
      <c r="E10" s="178"/>
      <c r="F10" s="264">
        <f>SUM(F12,F66,F138,F237,F245,F277,F282)</f>
        <v>999999999.99499989</v>
      </c>
      <c r="G10" s="264">
        <f t="shared" ref="G10:K10" si="0">SUM(G12,G66,G138,G237,G245,G277,G282)</f>
        <v>39503902.109999999</v>
      </c>
      <c r="H10" s="264">
        <f t="shared" si="0"/>
        <v>1039503902.105</v>
      </c>
      <c r="I10" s="264">
        <f t="shared" si="0"/>
        <v>1019384043.9300001</v>
      </c>
      <c r="J10" s="264">
        <f t="shared" ref="J10" si="1">SUM(J12,J66,J138,J237,J245,J277,J282)</f>
        <v>989178888</v>
      </c>
      <c r="K10" s="281">
        <f t="shared" si="0"/>
        <v>20119858.174999945</v>
      </c>
      <c r="M10" s="268"/>
      <c r="N10"/>
      <c r="O10" s="268"/>
      <c r="P10"/>
      <c r="Q10"/>
    </row>
    <row r="11" spans="1:17" s="66" customFormat="1" x14ac:dyDescent="0.25">
      <c r="A11" s="61"/>
      <c r="B11" s="71"/>
      <c r="C11" s="72"/>
      <c r="D11" s="73"/>
      <c r="E11" s="74"/>
      <c r="F11" s="270"/>
      <c r="G11" s="145"/>
      <c r="H11" s="145"/>
      <c r="I11" s="145"/>
      <c r="J11" s="145"/>
      <c r="K11" s="282"/>
      <c r="M11" s="186"/>
      <c r="N11"/>
      <c r="O11"/>
      <c r="P11"/>
      <c r="Q11"/>
    </row>
    <row r="12" spans="1:17" s="66" customFormat="1" ht="15" customHeight="1" x14ac:dyDescent="0.25">
      <c r="A12" s="67">
        <v>10000</v>
      </c>
      <c r="B12" s="68" t="s">
        <v>298</v>
      </c>
      <c r="C12" s="69"/>
      <c r="D12" s="69"/>
      <c r="E12" s="70"/>
      <c r="F12" s="265">
        <f t="shared" ref="F12:H12" si="2">SUM(F13,F18,F23,F34,F43,F62)</f>
        <v>951163073.14999986</v>
      </c>
      <c r="G12" s="265">
        <f>SUM(G13,G18,G23,G34,G43,G62)</f>
        <v>17477690.119999997</v>
      </c>
      <c r="H12" s="265">
        <f t="shared" si="2"/>
        <v>968640763.26999998</v>
      </c>
      <c r="I12" s="265">
        <f t="shared" ref="I12:J12" si="3">SUM(I13,I18,I23,I34,I43,I62)</f>
        <v>958858386.08000004</v>
      </c>
      <c r="J12" s="265">
        <f t="shared" si="3"/>
        <v>945288561.75</v>
      </c>
      <c r="K12" s="283">
        <f>SUM(K13,K18,K23,K34,K43,K62)</f>
        <v>9782377.1899999492</v>
      </c>
      <c r="M12" s="186">
        <f>I12-J12</f>
        <v>13569824.330000043</v>
      </c>
      <c r="N12" s="267"/>
      <c r="O12" s="267"/>
      <c r="P12"/>
      <c r="Q12"/>
    </row>
    <row r="13" spans="1:17" s="66" customFormat="1" x14ac:dyDescent="0.25">
      <c r="A13" s="75"/>
      <c r="B13" s="181">
        <v>11000</v>
      </c>
      <c r="C13" s="182" t="s">
        <v>299</v>
      </c>
      <c r="D13" s="183"/>
      <c r="E13" s="184"/>
      <c r="F13" s="142">
        <f t="shared" ref="F13:H13" si="4">SUM(F14,F16)</f>
        <v>383000620.53999996</v>
      </c>
      <c r="G13" s="142">
        <f t="shared" si="4"/>
        <v>10212411.67</v>
      </c>
      <c r="H13" s="142">
        <f t="shared" si="4"/>
        <v>393213032.20999998</v>
      </c>
      <c r="I13" s="142">
        <f t="shared" ref="I13:J13" si="5">SUM(I14,I16)</f>
        <v>392261689.31</v>
      </c>
      <c r="J13" s="142">
        <f t="shared" si="5"/>
        <v>381320238.54999995</v>
      </c>
      <c r="K13" s="284">
        <f t="shared" ref="K13" si="6">SUM(K14,K16)</f>
        <v>951342.89999996126</v>
      </c>
      <c r="M13" s="186">
        <v>13569824.33</v>
      </c>
      <c r="N13" s="267"/>
      <c r="O13" s="267"/>
      <c r="P13"/>
      <c r="Q13"/>
    </row>
    <row r="14" spans="1:17" s="66" customFormat="1" x14ac:dyDescent="0.25">
      <c r="A14" s="75"/>
      <c r="B14" s="76"/>
      <c r="C14" s="106">
        <v>11100</v>
      </c>
      <c r="D14" s="179" t="s">
        <v>300</v>
      </c>
      <c r="E14" s="180"/>
      <c r="F14" s="143">
        <f t="shared" ref="F14:K14" si="7">SUM(F15)</f>
        <v>118393076</v>
      </c>
      <c r="G14" s="143">
        <f t="shared" si="7"/>
        <v>-307056.76</v>
      </c>
      <c r="H14" s="143">
        <f t="shared" si="7"/>
        <v>118086019.23999999</v>
      </c>
      <c r="I14" s="143">
        <f t="shared" si="7"/>
        <v>117358823.37</v>
      </c>
      <c r="J14" s="143">
        <f t="shared" si="7"/>
        <v>117001761.78</v>
      </c>
      <c r="K14" s="285">
        <f t="shared" si="7"/>
        <v>727195.86999998987</v>
      </c>
      <c r="M14" s="186">
        <f>M12-M13</f>
        <v>4.2840838432312012E-8</v>
      </c>
      <c r="N14"/>
      <c r="O14"/>
      <c r="P14"/>
      <c r="Q14"/>
    </row>
    <row r="15" spans="1:17" s="66" customFormat="1" x14ac:dyDescent="0.25">
      <c r="A15" s="75"/>
      <c r="B15" s="77"/>
      <c r="C15" s="76"/>
      <c r="D15" s="78">
        <v>11101</v>
      </c>
      <c r="E15" s="79" t="s">
        <v>301</v>
      </c>
      <c r="F15" s="186">
        <v>118393076</v>
      </c>
      <c r="G15" s="186">
        <v>-307056.76</v>
      </c>
      <c r="H15" s="186">
        <f t="shared" ref="H15" si="8">F15+G15</f>
        <v>118086019.23999999</v>
      </c>
      <c r="I15" s="186">
        <v>117358823.37</v>
      </c>
      <c r="J15" s="186">
        <f>117358823.37-357061.59</f>
        <v>117001761.78</v>
      </c>
      <c r="K15" s="283">
        <f>H15-I15</f>
        <v>727195.86999998987</v>
      </c>
      <c r="M15"/>
      <c r="N15"/>
      <c r="O15"/>
      <c r="P15"/>
      <c r="Q15"/>
    </row>
    <row r="16" spans="1:17" s="66" customFormat="1" x14ac:dyDescent="0.25">
      <c r="A16" s="75"/>
      <c r="B16" s="76"/>
      <c r="C16" s="106">
        <v>11300</v>
      </c>
      <c r="D16" s="179" t="s">
        <v>302</v>
      </c>
      <c r="E16" s="180"/>
      <c r="F16" s="143">
        <f t="shared" ref="F16:G16" si="9">SUM(F17)</f>
        <v>264607544.53999999</v>
      </c>
      <c r="G16" s="143">
        <f t="shared" si="9"/>
        <v>10519468.43</v>
      </c>
      <c r="H16" s="143">
        <f t="shared" ref="H16:K16" si="10">SUM(H17)</f>
        <v>275127012.96999997</v>
      </c>
      <c r="I16" s="143">
        <f t="shared" si="10"/>
        <v>274902865.94</v>
      </c>
      <c r="J16" s="143">
        <f t="shared" si="10"/>
        <v>264318476.76999998</v>
      </c>
      <c r="K16" s="285">
        <f t="shared" si="10"/>
        <v>224147.02999997139</v>
      </c>
      <c r="M16"/>
      <c r="N16"/>
      <c r="O16"/>
      <c r="P16"/>
      <c r="Q16"/>
    </row>
    <row r="17" spans="1:17" s="66" customFormat="1" x14ac:dyDescent="0.25">
      <c r="A17" s="75"/>
      <c r="B17" s="77"/>
      <c r="C17" s="76"/>
      <c r="D17" s="78">
        <v>11301</v>
      </c>
      <c r="E17" s="79" t="s">
        <v>510</v>
      </c>
      <c r="F17" s="186">
        <v>264607544.53999999</v>
      </c>
      <c r="G17" s="186">
        <v>10519468.43</v>
      </c>
      <c r="H17" s="186">
        <f t="shared" ref="H17" si="11">F17+G17</f>
        <v>275127012.96999997</v>
      </c>
      <c r="I17" s="186">
        <v>274902865.94</v>
      </c>
      <c r="J17" s="186">
        <f>274902865.94-5301.6-9611428.72-967827.47+168.62</f>
        <v>264318476.76999998</v>
      </c>
      <c r="K17" s="283">
        <f t="shared" ref="K17:K80" si="12">H17-I17</f>
        <v>224147.02999997139</v>
      </c>
      <c r="M17"/>
      <c r="N17"/>
      <c r="O17"/>
      <c r="P17"/>
      <c r="Q17"/>
    </row>
    <row r="18" spans="1:17" s="66" customFormat="1" x14ac:dyDescent="0.25">
      <c r="A18" s="75"/>
      <c r="B18" s="181">
        <v>12000</v>
      </c>
      <c r="C18" s="182" t="s">
        <v>303</v>
      </c>
      <c r="D18" s="183"/>
      <c r="E18" s="184"/>
      <c r="F18" s="142">
        <f>SUM(F19)</f>
        <v>3413057.21</v>
      </c>
      <c r="G18" s="142">
        <f t="shared" ref="G18" si="13">SUM(G19,G21)</f>
        <v>430557.96</v>
      </c>
      <c r="H18" s="142">
        <f t="shared" ref="H18" si="14">SUM(H19,H21)</f>
        <v>3843615.17</v>
      </c>
      <c r="I18" s="142">
        <f t="shared" ref="I18:J18" si="15">SUM(I19,I21)</f>
        <v>3232528.36</v>
      </c>
      <c r="J18" s="142">
        <f t="shared" si="15"/>
        <v>3159298.29</v>
      </c>
      <c r="K18" s="284">
        <f t="shared" ref="K18" si="16">SUM(K19,K21)</f>
        <v>611086.81000000006</v>
      </c>
      <c r="M18"/>
      <c r="N18"/>
      <c r="O18"/>
      <c r="P18"/>
      <c r="Q18"/>
    </row>
    <row r="19" spans="1:17" s="66" customFormat="1" x14ac:dyDescent="0.25">
      <c r="A19" s="75"/>
      <c r="B19" s="76"/>
      <c r="C19" s="106">
        <v>12200</v>
      </c>
      <c r="D19" s="179" t="s">
        <v>304</v>
      </c>
      <c r="E19" s="180"/>
      <c r="F19" s="143">
        <f t="shared" ref="F19:G19" si="17">SUM(F20)</f>
        <v>3413057.21</v>
      </c>
      <c r="G19" s="143">
        <f t="shared" si="17"/>
        <v>430557.96</v>
      </c>
      <c r="H19" s="143">
        <f t="shared" ref="H19:K19" si="18">SUM(H20)</f>
        <v>3843615.17</v>
      </c>
      <c r="I19" s="143">
        <f t="shared" si="18"/>
        <v>3232528.36</v>
      </c>
      <c r="J19" s="143">
        <f t="shared" si="18"/>
        <v>3159298.29</v>
      </c>
      <c r="K19" s="285">
        <f t="shared" si="18"/>
        <v>611086.81000000006</v>
      </c>
      <c r="M19"/>
      <c r="N19"/>
      <c r="O19"/>
      <c r="P19"/>
      <c r="Q19"/>
    </row>
    <row r="20" spans="1:17" s="66" customFormat="1" x14ac:dyDescent="0.25">
      <c r="A20" s="75"/>
      <c r="B20" s="77"/>
      <c r="C20" s="76"/>
      <c r="D20" s="81">
        <v>12201</v>
      </c>
      <c r="E20" s="82" t="s">
        <v>511</v>
      </c>
      <c r="F20" s="186">
        <v>3413057.21</v>
      </c>
      <c r="G20" s="186">
        <v>430557.96</v>
      </c>
      <c r="H20" s="186">
        <f t="shared" ref="H20" si="19">F20+G20</f>
        <v>3843615.17</v>
      </c>
      <c r="I20" s="186">
        <v>3232528.36</v>
      </c>
      <c r="J20" s="186">
        <f>3232528.36-73230.07</f>
        <v>3159298.29</v>
      </c>
      <c r="K20" s="283">
        <f t="shared" si="12"/>
        <v>611086.81000000006</v>
      </c>
      <c r="M20"/>
      <c r="N20"/>
      <c r="O20"/>
      <c r="P20"/>
      <c r="Q20"/>
    </row>
    <row r="21" spans="1:17" s="66" customFormat="1" hidden="1" x14ac:dyDescent="0.25">
      <c r="A21" s="75"/>
      <c r="B21" s="76"/>
      <c r="C21" s="106">
        <v>12300</v>
      </c>
      <c r="D21" s="179" t="s">
        <v>305</v>
      </c>
      <c r="E21" s="180"/>
      <c r="F21" s="143"/>
      <c r="G21" s="143">
        <f t="shared" ref="G21" si="20">SUM(G22)</f>
        <v>0</v>
      </c>
      <c r="H21" s="143">
        <f t="shared" ref="H21:K21" si="21">SUM(H22)</f>
        <v>0</v>
      </c>
      <c r="I21" s="143">
        <f t="shared" si="21"/>
        <v>0</v>
      </c>
      <c r="J21" s="143">
        <f t="shared" si="21"/>
        <v>0</v>
      </c>
      <c r="K21" s="285">
        <f t="shared" si="21"/>
        <v>0</v>
      </c>
      <c r="M21"/>
      <c r="N21"/>
      <c r="O21"/>
      <c r="P21"/>
      <c r="Q21"/>
    </row>
    <row r="22" spans="1:17" s="66" customFormat="1" ht="30" hidden="1" x14ac:dyDescent="0.25">
      <c r="A22" s="75"/>
      <c r="B22" s="77"/>
      <c r="C22" s="76"/>
      <c r="D22" s="78">
        <v>12301</v>
      </c>
      <c r="E22" s="79" t="s">
        <v>306</v>
      </c>
      <c r="F22" s="186"/>
      <c r="G22" s="186"/>
      <c r="H22" s="186">
        <f t="shared" ref="H22" si="22">F22+G22</f>
        <v>0</v>
      </c>
      <c r="I22" s="186">
        <v>0</v>
      </c>
      <c r="J22" s="186">
        <v>0</v>
      </c>
      <c r="K22" s="283">
        <f t="shared" si="12"/>
        <v>0</v>
      </c>
      <c r="M22"/>
      <c r="N22"/>
      <c r="O22"/>
      <c r="P22"/>
      <c r="Q22"/>
    </row>
    <row r="23" spans="1:17" s="66" customFormat="1" x14ac:dyDescent="0.25">
      <c r="A23" s="75"/>
      <c r="B23" s="181">
        <v>13000</v>
      </c>
      <c r="C23" s="182" t="s">
        <v>307</v>
      </c>
      <c r="D23" s="183"/>
      <c r="E23" s="184"/>
      <c r="F23" s="142">
        <f t="shared" ref="F23:G23" si="23">SUM(F24,F27,F30,F32)</f>
        <v>297413690.37</v>
      </c>
      <c r="G23" s="142">
        <f t="shared" si="23"/>
        <v>-4661393.9600000009</v>
      </c>
      <c r="H23" s="142">
        <f t="shared" ref="H23" si="24">SUM(H24,H27,H30,H32)</f>
        <v>292752296.40999997</v>
      </c>
      <c r="I23" s="142">
        <f t="shared" ref="I23:J23" si="25">SUM(I24,I27,I30,I32)</f>
        <v>291863429.69</v>
      </c>
      <c r="J23" s="142">
        <f t="shared" si="25"/>
        <v>289474832.72000003</v>
      </c>
      <c r="K23" s="284">
        <f t="shared" ref="K23" si="26">SUM(K24,K27,K30,K32)</f>
        <v>888866.71999998344</v>
      </c>
      <c r="M23"/>
      <c r="N23"/>
      <c r="O23"/>
      <c r="P23"/>
      <c r="Q23"/>
    </row>
    <row r="24" spans="1:17" s="66" customFormat="1" x14ac:dyDescent="0.25">
      <c r="A24" s="75"/>
      <c r="B24" s="76"/>
      <c r="C24" s="106">
        <v>13100</v>
      </c>
      <c r="D24" s="179" t="s">
        <v>308</v>
      </c>
      <c r="E24" s="180"/>
      <c r="F24" s="143">
        <f t="shared" ref="F24:G24" si="27">SUM(F25:F26)</f>
        <v>6352937.1200000001</v>
      </c>
      <c r="G24" s="143">
        <f t="shared" si="27"/>
        <v>2017401.97</v>
      </c>
      <c r="H24" s="143">
        <f t="shared" ref="H24" si="28">SUM(H25:H26)</f>
        <v>8370339.0899999999</v>
      </c>
      <c r="I24" s="143">
        <f t="shared" ref="I24:J24" si="29">SUM(I25:I26)</f>
        <v>8318453.6799999997</v>
      </c>
      <c r="J24" s="143">
        <f t="shared" si="29"/>
        <v>5952166.46</v>
      </c>
      <c r="K24" s="285">
        <f t="shared" ref="K24" si="30">SUM(K25:K26)</f>
        <v>51885.410000000615</v>
      </c>
      <c r="M24"/>
      <c r="N24"/>
      <c r="O24"/>
      <c r="P24"/>
      <c r="Q24"/>
    </row>
    <row r="25" spans="1:17" s="66" customFormat="1" ht="30" x14ac:dyDescent="0.25">
      <c r="A25" s="75"/>
      <c r="B25" s="77"/>
      <c r="C25" s="76"/>
      <c r="D25" s="78">
        <v>13101</v>
      </c>
      <c r="E25" s="79" t="s">
        <v>512</v>
      </c>
      <c r="F25" s="186">
        <v>3100768.96</v>
      </c>
      <c r="G25" s="186">
        <v>17401.97</v>
      </c>
      <c r="H25" s="186">
        <f t="shared" ref="H25:H26" si="31">F25+G25</f>
        <v>3118170.93</v>
      </c>
      <c r="I25" s="186">
        <v>3079285.37</v>
      </c>
      <c r="J25" s="186">
        <f>3079285.37-20881.99+101.18</f>
        <v>3058504.56</v>
      </c>
      <c r="K25" s="283">
        <f t="shared" si="12"/>
        <v>38885.560000000056</v>
      </c>
      <c r="M25"/>
      <c r="N25"/>
      <c r="O25"/>
      <c r="P25"/>
      <c r="Q25"/>
    </row>
    <row r="26" spans="1:17" s="66" customFormat="1" x14ac:dyDescent="0.25">
      <c r="A26" s="75"/>
      <c r="B26" s="77"/>
      <c r="C26" s="76"/>
      <c r="D26" s="78">
        <v>13102</v>
      </c>
      <c r="E26" s="79" t="s">
        <v>513</v>
      </c>
      <c r="F26" s="186">
        <v>3252168.16</v>
      </c>
      <c r="G26" s="186">
        <v>2000000</v>
      </c>
      <c r="H26" s="186">
        <f t="shared" si="31"/>
        <v>5252168.16</v>
      </c>
      <c r="I26" s="186">
        <v>5239168.3099999996</v>
      </c>
      <c r="J26" s="186">
        <f>5239168.31-2345828.63+322.22</f>
        <v>2893661.9</v>
      </c>
      <c r="K26" s="283">
        <f t="shared" si="12"/>
        <v>12999.850000000559</v>
      </c>
      <c r="M26"/>
      <c r="N26"/>
      <c r="O26"/>
      <c r="P26"/>
      <c r="Q26"/>
    </row>
    <row r="27" spans="1:17" s="66" customFormat="1" x14ac:dyDescent="0.25">
      <c r="A27" s="75"/>
      <c r="B27" s="76"/>
      <c r="C27" s="106">
        <v>13200</v>
      </c>
      <c r="D27" s="179" t="s">
        <v>309</v>
      </c>
      <c r="E27" s="180"/>
      <c r="F27" s="143">
        <f t="shared" ref="F27" si="32">SUM(F28:F29)</f>
        <v>123583472.25</v>
      </c>
      <c r="G27" s="143">
        <f t="shared" ref="G27" si="33">SUM(G28:G29)</f>
        <v>-4923564.32</v>
      </c>
      <c r="H27" s="143">
        <f t="shared" ref="H27:K27" si="34">SUM(H28:H29)</f>
        <v>118659907.93000001</v>
      </c>
      <c r="I27" s="143">
        <f t="shared" si="34"/>
        <v>118656242.85000001</v>
      </c>
      <c r="J27" s="143">
        <f t="shared" ref="J27" si="35">SUM(J28:J29)</f>
        <v>118656242.85000001</v>
      </c>
      <c r="K27" s="285">
        <f t="shared" si="34"/>
        <v>3665.0799999982119</v>
      </c>
      <c r="M27"/>
      <c r="N27"/>
      <c r="O27"/>
      <c r="P27"/>
      <c r="Q27"/>
    </row>
    <row r="28" spans="1:17" s="66" customFormat="1" x14ac:dyDescent="0.25">
      <c r="A28" s="75"/>
      <c r="B28" s="77"/>
      <c r="C28" s="76"/>
      <c r="D28" s="78">
        <v>13202</v>
      </c>
      <c r="E28" s="79" t="s">
        <v>514</v>
      </c>
      <c r="F28" s="186">
        <v>31131894.719999999</v>
      </c>
      <c r="G28" s="186">
        <v>-1105826.02</v>
      </c>
      <c r="H28" s="186">
        <f t="shared" ref="H28:H29" si="36">F28+G28</f>
        <v>30026068.699999999</v>
      </c>
      <c r="I28" s="186">
        <v>30023225.870000001</v>
      </c>
      <c r="J28" s="186">
        <f>30023225.87</f>
        <v>30023225.870000001</v>
      </c>
      <c r="K28" s="283">
        <f t="shared" si="12"/>
        <v>2842.8299999982119</v>
      </c>
      <c r="M28"/>
      <c r="N28"/>
      <c r="O28"/>
      <c r="P28"/>
      <c r="Q28"/>
    </row>
    <row r="29" spans="1:17" s="66" customFormat="1" x14ac:dyDescent="0.25">
      <c r="A29" s="75"/>
      <c r="B29" s="77"/>
      <c r="C29" s="76"/>
      <c r="D29" s="78">
        <v>13203</v>
      </c>
      <c r="E29" s="79" t="s">
        <v>561</v>
      </c>
      <c r="F29" s="186">
        <v>92451577.530000001</v>
      </c>
      <c r="G29" s="186">
        <v>-3817738.3</v>
      </c>
      <c r="H29" s="186">
        <f t="shared" si="36"/>
        <v>88633839.230000004</v>
      </c>
      <c r="I29" s="186">
        <v>88633016.980000004</v>
      </c>
      <c r="J29" s="186">
        <f>88633016.98</f>
        <v>88633016.980000004</v>
      </c>
      <c r="K29" s="283">
        <f t="shared" si="12"/>
        <v>822.25</v>
      </c>
      <c r="M29"/>
      <c r="N29"/>
      <c r="O29"/>
      <c r="P29"/>
      <c r="Q29"/>
    </row>
    <row r="30" spans="1:17" s="66" customFormat="1" x14ac:dyDescent="0.25">
      <c r="A30" s="75"/>
      <c r="B30" s="76"/>
      <c r="C30" s="106">
        <v>13300</v>
      </c>
      <c r="D30" s="179" t="s">
        <v>310</v>
      </c>
      <c r="E30" s="180"/>
      <c r="F30" s="143">
        <f t="shared" ref="F30:G30" si="37">SUM(F31)</f>
        <v>1477281</v>
      </c>
      <c r="G30" s="143">
        <f t="shared" si="37"/>
        <v>-150000</v>
      </c>
      <c r="H30" s="143">
        <f t="shared" ref="H30:K30" si="38">SUM(H31)</f>
        <v>1327281</v>
      </c>
      <c r="I30" s="143">
        <f t="shared" si="38"/>
        <v>1268045.3799999999</v>
      </c>
      <c r="J30" s="143">
        <f t="shared" si="38"/>
        <v>1268045.3799999999</v>
      </c>
      <c r="K30" s="285">
        <f t="shared" si="38"/>
        <v>59235.620000000112</v>
      </c>
      <c r="M30"/>
      <c r="N30"/>
      <c r="O30"/>
      <c r="P30"/>
      <c r="Q30"/>
    </row>
    <row r="31" spans="1:17" s="66" customFormat="1" x14ac:dyDescent="0.25">
      <c r="A31" s="75"/>
      <c r="B31" s="77"/>
      <c r="C31" s="76"/>
      <c r="D31" s="78">
        <v>13301</v>
      </c>
      <c r="E31" s="79" t="s">
        <v>515</v>
      </c>
      <c r="F31" s="186">
        <v>1477281</v>
      </c>
      <c r="G31" s="186">
        <v>-150000</v>
      </c>
      <c r="H31" s="186">
        <f t="shared" ref="H31" si="39">F31+G31</f>
        <v>1327281</v>
      </c>
      <c r="I31" s="186">
        <v>1268045.3799999999</v>
      </c>
      <c r="J31" s="186">
        <v>1268045.3799999999</v>
      </c>
      <c r="K31" s="283">
        <f t="shared" si="12"/>
        <v>59235.620000000112</v>
      </c>
      <c r="M31"/>
      <c r="N31"/>
      <c r="O31"/>
      <c r="P31"/>
      <c r="Q31"/>
    </row>
    <row r="32" spans="1:17" s="66" customFormat="1" x14ac:dyDescent="0.25">
      <c r="A32" s="75"/>
      <c r="B32" s="76"/>
      <c r="C32" s="106">
        <v>13400</v>
      </c>
      <c r="D32" s="179" t="s">
        <v>311</v>
      </c>
      <c r="E32" s="180"/>
      <c r="F32" s="143">
        <f t="shared" ref="F32:G32" si="40">SUM(F33)</f>
        <v>166000000</v>
      </c>
      <c r="G32" s="143">
        <f t="shared" si="40"/>
        <v>-1605231.61</v>
      </c>
      <c r="H32" s="143">
        <f t="shared" ref="H32:K32" si="41">SUM(H33)</f>
        <v>164394768.38999999</v>
      </c>
      <c r="I32" s="143">
        <f t="shared" si="41"/>
        <v>163620687.78</v>
      </c>
      <c r="J32" s="143">
        <f t="shared" si="41"/>
        <v>163598378.03</v>
      </c>
      <c r="K32" s="285">
        <f t="shared" si="41"/>
        <v>774080.6099999845</v>
      </c>
      <c r="M32"/>
      <c r="N32"/>
      <c r="O32"/>
      <c r="P32"/>
      <c r="Q32"/>
    </row>
    <row r="33" spans="1:17" s="66" customFormat="1" x14ac:dyDescent="0.25">
      <c r="A33" s="75"/>
      <c r="B33" s="77"/>
      <c r="C33" s="76"/>
      <c r="D33" s="78">
        <v>13401</v>
      </c>
      <c r="E33" s="79" t="s">
        <v>311</v>
      </c>
      <c r="F33" s="186">
        <v>166000000</v>
      </c>
      <c r="G33" s="186">
        <v>-1605231.61</v>
      </c>
      <c r="H33" s="186">
        <f t="shared" ref="H33" si="42">F33+G33</f>
        <v>164394768.38999999</v>
      </c>
      <c r="I33" s="186">
        <v>163620687.78</v>
      </c>
      <c r="J33" s="186">
        <f>163620687.78-22309.75</f>
        <v>163598378.03</v>
      </c>
      <c r="K33" s="283">
        <f t="shared" si="12"/>
        <v>774080.6099999845</v>
      </c>
      <c r="M33"/>
      <c r="N33"/>
      <c r="O33"/>
      <c r="P33"/>
      <c r="Q33"/>
    </row>
    <row r="34" spans="1:17" s="66" customFormat="1" x14ac:dyDescent="0.25">
      <c r="A34" s="75"/>
      <c r="B34" s="181">
        <v>14000</v>
      </c>
      <c r="C34" s="182" t="s">
        <v>312</v>
      </c>
      <c r="D34" s="183"/>
      <c r="E34" s="184"/>
      <c r="F34" s="142">
        <f t="shared" ref="F34:G34" si="43">SUM(F35,F38)</f>
        <v>105819264.71000001</v>
      </c>
      <c r="G34" s="142">
        <f t="shared" si="43"/>
        <v>2973172.5</v>
      </c>
      <c r="H34" s="142">
        <f t="shared" ref="H34:K34" si="44">SUM(H35,H38)</f>
        <v>108792437.21000001</v>
      </c>
      <c r="I34" s="142">
        <f t="shared" ref="I34:J34" si="45">SUM(I35,I38)</f>
        <v>105460268.96000001</v>
      </c>
      <c r="J34" s="142">
        <f t="shared" si="45"/>
        <v>105436323.93000001</v>
      </c>
      <c r="K34" s="284">
        <f t="shared" si="44"/>
        <v>3332168.2500000075</v>
      </c>
      <c r="M34"/>
      <c r="N34"/>
      <c r="O34"/>
      <c r="P34"/>
      <c r="Q34"/>
    </row>
    <row r="35" spans="1:17" s="66" customFormat="1" x14ac:dyDescent="0.25">
      <c r="A35" s="75"/>
      <c r="B35" s="76"/>
      <c r="C35" s="106">
        <v>14100</v>
      </c>
      <c r="D35" s="179" t="s">
        <v>313</v>
      </c>
      <c r="E35" s="180"/>
      <c r="F35" s="143">
        <f t="shared" ref="F35" si="46">SUM(F36:F37)</f>
        <v>90139264.710000008</v>
      </c>
      <c r="G35" s="143">
        <f t="shared" ref="G35" si="47">SUM(G36:G37)</f>
        <v>4914162.84</v>
      </c>
      <c r="H35" s="143">
        <f t="shared" ref="H35:K35" si="48">SUM(H36:H37)</f>
        <v>95053427.550000012</v>
      </c>
      <c r="I35" s="143">
        <f t="shared" ref="I35:J35" si="49">SUM(I36:I37)</f>
        <v>91896217.900000006</v>
      </c>
      <c r="J35" s="143">
        <f t="shared" si="49"/>
        <v>91872272.870000005</v>
      </c>
      <c r="K35" s="285">
        <f t="shared" si="48"/>
        <v>3157209.650000006</v>
      </c>
      <c r="M35"/>
      <c r="N35"/>
      <c r="O35"/>
      <c r="P35"/>
      <c r="Q35"/>
    </row>
    <row r="36" spans="1:17" s="66" customFormat="1" ht="30" x14ac:dyDescent="0.25">
      <c r="A36" s="75"/>
      <c r="B36" s="77"/>
      <c r="C36" s="76"/>
      <c r="D36" s="78">
        <v>14101</v>
      </c>
      <c r="E36" s="79" t="s">
        <v>516</v>
      </c>
      <c r="F36" s="186">
        <v>42494147.079999998</v>
      </c>
      <c r="G36" s="186">
        <v>5028431.5999999996</v>
      </c>
      <c r="H36" s="186">
        <f t="shared" ref="H36:H37" si="50">F36+G36</f>
        <v>47522578.68</v>
      </c>
      <c r="I36" s="186">
        <v>44366202.829999998</v>
      </c>
      <c r="J36" s="186">
        <f>44366202.83-2030</f>
        <v>44364172.829999998</v>
      </c>
      <c r="K36" s="283">
        <f t="shared" si="12"/>
        <v>3156375.8500000015</v>
      </c>
      <c r="M36"/>
      <c r="N36"/>
      <c r="O36"/>
      <c r="P36"/>
      <c r="Q36"/>
    </row>
    <row r="37" spans="1:17" s="66" customFormat="1" ht="30" x14ac:dyDescent="0.25">
      <c r="A37" s="75"/>
      <c r="B37" s="77"/>
      <c r="C37" s="76"/>
      <c r="D37" s="78">
        <v>14102</v>
      </c>
      <c r="E37" s="79" t="s">
        <v>517</v>
      </c>
      <c r="F37" s="186">
        <v>47645117.630000003</v>
      </c>
      <c r="G37" s="186">
        <v>-114268.76</v>
      </c>
      <c r="H37" s="186">
        <f t="shared" si="50"/>
        <v>47530848.870000005</v>
      </c>
      <c r="I37" s="186">
        <v>47530015.07</v>
      </c>
      <c r="J37" s="186">
        <f>47530015.07-21915.03</f>
        <v>47508100.039999999</v>
      </c>
      <c r="K37" s="283">
        <f t="shared" si="12"/>
        <v>833.80000000447035</v>
      </c>
      <c r="M37"/>
      <c r="N37"/>
      <c r="O37"/>
      <c r="P37"/>
      <c r="Q37"/>
    </row>
    <row r="38" spans="1:17" s="66" customFormat="1" x14ac:dyDescent="0.25">
      <c r="A38" s="75"/>
      <c r="B38" s="76"/>
      <c r="C38" s="106">
        <v>14400</v>
      </c>
      <c r="D38" s="179" t="s">
        <v>314</v>
      </c>
      <c r="E38" s="180"/>
      <c r="F38" s="143">
        <f>SUM(F39:F42)</f>
        <v>15680000</v>
      </c>
      <c r="G38" s="143">
        <f t="shared" ref="G38" si="51">SUM(G39:G42)</f>
        <v>-1940990.34</v>
      </c>
      <c r="H38" s="143">
        <f t="shared" ref="H38:K38" si="52">SUM(H39:H42)</f>
        <v>13739009.66</v>
      </c>
      <c r="I38" s="143">
        <f t="shared" si="52"/>
        <v>13564051.059999999</v>
      </c>
      <c r="J38" s="143">
        <f t="shared" ref="J38" si="53">SUM(J39:J42)</f>
        <v>13564051.059999999</v>
      </c>
      <c r="K38" s="285">
        <f t="shared" si="52"/>
        <v>174958.60000000149</v>
      </c>
      <c r="M38"/>
      <c r="N38"/>
      <c r="O38"/>
      <c r="P38"/>
      <c r="Q38"/>
    </row>
    <row r="39" spans="1:17" s="66" customFormat="1" x14ac:dyDescent="0.25">
      <c r="A39" s="75"/>
      <c r="B39" s="77"/>
      <c r="C39" s="76"/>
      <c r="D39" s="78">
        <v>14401</v>
      </c>
      <c r="E39" s="79" t="s">
        <v>518</v>
      </c>
      <c r="F39" s="186">
        <v>1030000</v>
      </c>
      <c r="G39" s="186">
        <v>-479768.59</v>
      </c>
      <c r="H39" s="186">
        <f t="shared" ref="H39:H42" si="54">F39+G39</f>
        <v>550231.40999999992</v>
      </c>
      <c r="I39" s="186">
        <v>550231.41</v>
      </c>
      <c r="J39" s="186">
        <v>550231.41</v>
      </c>
      <c r="K39" s="283">
        <f t="shared" si="12"/>
        <v>0</v>
      </c>
      <c r="M39"/>
      <c r="N39"/>
      <c r="O39"/>
      <c r="P39"/>
      <c r="Q39"/>
    </row>
    <row r="40" spans="1:17" s="66" customFormat="1" ht="30" x14ac:dyDescent="0.25">
      <c r="A40" s="75"/>
      <c r="B40" s="77"/>
      <c r="C40" s="76"/>
      <c r="D40" s="78">
        <v>14410</v>
      </c>
      <c r="E40" s="79" t="s">
        <v>315</v>
      </c>
      <c r="F40" s="186">
        <v>650000</v>
      </c>
      <c r="G40" s="186">
        <v>-66417.72</v>
      </c>
      <c r="H40" s="186">
        <f t="shared" si="54"/>
        <v>583582.28</v>
      </c>
      <c r="I40" s="186">
        <v>583582.28</v>
      </c>
      <c r="J40" s="186">
        <v>583582.28</v>
      </c>
      <c r="K40" s="283">
        <f t="shared" si="12"/>
        <v>0</v>
      </c>
      <c r="M40"/>
      <c r="N40"/>
      <c r="O40"/>
      <c r="P40"/>
      <c r="Q40"/>
    </row>
    <row r="41" spans="1:17" s="66" customFormat="1" ht="30" x14ac:dyDescent="0.25">
      <c r="A41" s="75"/>
      <c r="B41" s="77"/>
      <c r="C41" s="76"/>
      <c r="D41" s="78">
        <v>14411</v>
      </c>
      <c r="E41" s="79" t="s">
        <v>519</v>
      </c>
      <c r="F41" s="186"/>
      <c r="G41" s="186"/>
      <c r="H41" s="186">
        <f t="shared" si="54"/>
        <v>0</v>
      </c>
      <c r="I41" s="186">
        <v>0</v>
      </c>
      <c r="J41" s="186">
        <v>0</v>
      </c>
      <c r="K41" s="283">
        <f t="shared" si="12"/>
        <v>0</v>
      </c>
      <c r="M41"/>
      <c r="N41"/>
      <c r="O41"/>
      <c r="P41"/>
      <c r="Q41"/>
    </row>
    <row r="42" spans="1:17" s="66" customFormat="1" ht="30" x14ac:dyDescent="0.25">
      <c r="A42" s="75"/>
      <c r="B42" s="77"/>
      <c r="C42" s="76"/>
      <c r="D42" s="78">
        <v>14412</v>
      </c>
      <c r="E42" s="79" t="s">
        <v>520</v>
      </c>
      <c r="F42" s="186">
        <v>14000000</v>
      </c>
      <c r="G42" s="186">
        <v>-1394804.03</v>
      </c>
      <c r="H42" s="186">
        <f t="shared" si="54"/>
        <v>12605195.970000001</v>
      </c>
      <c r="I42" s="186">
        <v>12430237.369999999</v>
      </c>
      <c r="J42" s="186">
        <v>12430237.369999999</v>
      </c>
      <c r="K42" s="283">
        <f t="shared" si="12"/>
        <v>174958.60000000149</v>
      </c>
      <c r="M42"/>
      <c r="N42"/>
      <c r="O42"/>
      <c r="P42"/>
      <c r="Q42"/>
    </row>
    <row r="43" spans="1:17" s="66" customFormat="1" x14ac:dyDescent="0.25">
      <c r="A43" s="75"/>
      <c r="B43" s="181">
        <v>15000</v>
      </c>
      <c r="C43" s="182" t="s">
        <v>316</v>
      </c>
      <c r="D43" s="183"/>
      <c r="E43" s="184"/>
      <c r="F43" s="142">
        <f>SUM(F46,F48,F58)</f>
        <v>149916175.56</v>
      </c>
      <c r="G43" s="142">
        <f t="shared" ref="G43" si="55">SUM(G44,G46,G48,G56,G58)</f>
        <v>9620806.9499999993</v>
      </c>
      <c r="H43" s="142">
        <f t="shared" ref="H43:K43" si="56">SUM(H44,H46,H48,H56,H58)</f>
        <v>159536982.51000002</v>
      </c>
      <c r="I43" s="142">
        <f t="shared" ref="I43:J43" si="57">SUM(I44,I46,I48,I56,I58)</f>
        <v>155714169.76000002</v>
      </c>
      <c r="J43" s="142">
        <f t="shared" si="57"/>
        <v>155571568.26000002</v>
      </c>
      <c r="K43" s="284">
        <f t="shared" si="56"/>
        <v>3822812.7499999977</v>
      </c>
      <c r="M43"/>
      <c r="N43"/>
      <c r="O43"/>
      <c r="P43"/>
      <c r="Q43"/>
    </row>
    <row r="44" spans="1:17" s="66" customFormat="1" hidden="1" x14ac:dyDescent="0.25">
      <c r="A44" s="75"/>
      <c r="B44" s="76"/>
      <c r="C44" s="106">
        <v>15200</v>
      </c>
      <c r="D44" s="179" t="s">
        <v>317</v>
      </c>
      <c r="E44" s="180"/>
      <c r="F44" s="143"/>
      <c r="G44" s="143">
        <f t="shared" ref="G44" si="58">SUM(G45)</f>
        <v>0</v>
      </c>
      <c r="H44" s="143">
        <f t="shared" ref="H44:K44" si="59">SUM(H45)</f>
        <v>0</v>
      </c>
      <c r="I44" s="143">
        <f t="shared" si="59"/>
        <v>0</v>
      </c>
      <c r="J44" s="143">
        <f t="shared" si="59"/>
        <v>0</v>
      </c>
      <c r="K44" s="285">
        <f t="shared" si="59"/>
        <v>0</v>
      </c>
      <c r="M44"/>
      <c r="N44"/>
      <c r="O44"/>
      <c r="P44"/>
      <c r="Q44"/>
    </row>
    <row r="45" spans="1:17" s="66" customFormat="1" hidden="1" x14ac:dyDescent="0.25">
      <c r="A45" s="75"/>
      <c r="B45" s="77"/>
      <c r="C45" s="76"/>
      <c r="D45" s="78">
        <v>15201</v>
      </c>
      <c r="E45" s="79" t="s">
        <v>317</v>
      </c>
      <c r="F45" s="186"/>
      <c r="G45" s="186"/>
      <c r="H45" s="186">
        <f t="shared" ref="H45:J45" si="60">F45+G45</f>
        <v>0</v>
      </c>
      <c r="I45" s="186">
        <f t="shared" si="60"/>
        <v>0</v>
      </c>
      <c r="J45" s="186">
        <f t="shared" si="60"/>
        <v>0</v>
      </c>
      <c r="K45" s="283">
        <f t="shared" si="12"/>
        <v>0</v>
      </c>
      <c r="M45"/>
      <c r="N45"/>
      <c r="O45"/>
      <c r="P45"/>
      <c r="Q45"/>
    </row>
    <row r="46" spans="1:17" s="66" customFormat="1" x14ac:dyDescent="0.25">
      <c r="A46" s="75"/>
      <c r="B46" s="76"/>
      <c r="C46" s="106">
        <v>15300</v>
      </c>
      <c r="D46" s="179" t="s">
        <v>318</v>
      </c>
      <c r="E46" s="180"/>
      <c r="F46" s="143">
        <f t="shared" ref="F46:G46" si="61">SUM(F47)</f>
        <v>482168.55</v>
      </c>
      <c r="G46" s="143">
        <f t="shared" si="61"/>
        <v>75011.64</v>
      </c>
      <c r="H46" s="143">
        <f t="shared" ref="H46:K46" si="62">SUM(H47)</f>
        <v>557180.18999999994</v>
      </c>
      <c r="I46" s="143">
        <f t="shared" si="62"/>
        <v>534245.6</v>
      </c>
      <c r="J46" s="143">
        <f t="shared" si="62"/>
        <v>524178.39999999997</v>
      </c>
      <c r="K46" s="285">
        <f t="shared" si="62"/>
        <v>22934.589999999967</v>
      </c>
      <c r="M46"/>
      <c r="N46"/>
      <c r="O46"/>
      <c r="P46"/>
      <c r="Q46"/>
    </row>
    <row r="47" spans="1:17" s="66" customFormat="1" ht="30" x14ac:dyDescent="0.25">
      <c r="A47" s="75"/>
      <c r="B47" s="77"/>
      <c r="C47" s="76"/>
      <c r="D47" s="78">
        <v>15302</v>
      </c>
      <c r="E47" s="79" t="s">
        <v>521</v>
      </c>
      <c r="F47" s="186">
        <v>482168.55</v>
      </c>
      <c r="G47" s="186">
        <v>75011.64</v>
      </c>
      <c r="H47" s="186">
        <f t="shared" ref="H47" si="63">F47+G47</f>
        <v>557180.18999999994</v>
      </c>
      <c r="I47" s="186">
        <v>534245.6</v>
      </c>
      <c r="J47" s="186">
        <f>534245.6-10067.2</f>
        <v>524178.39999999997</v>
      </c>
      <c r="K47" s="283">
        <f t="shared" si="12"/>
        <v>22934.589999999967</v>
      </c>
      <c r="M47"/>
      <c r="N47"/>
      <c r="O47"/>
      <c r="P47"/>
      <c r="Q47"/>
    </row>
    <row r="48" spans="1:17" s="66" customFormat="1" x14ac:dyDescent="0.25">
      <c r="A48" s="75"/>
      <c r="B48" s="76"/>
      <c r="C48" s="106">
        <v>15400</v>
      </c>
      <c r="D48" s="179" t="s">
        <v>319</v>
      </c>
      <c r="E48" s="180"/>
      <c r="F48" s="143">
        <f t="shared" ref="F48:G48" si="64">SUM(F49:F55)</f>
        <v>143702007.00999999</v>
      </c>
      <c r="G48" s="143">
        <f t="shared" si="64"/>
        <v>10217795.309999999</v>
      </c>
      <c r="H48" s="143">
        <f t="shared" ref="H48:K48" si="65">SUM(H49:H55)</f>
        <v>153919802.32000002</v>
      </c>
      <c r="I48" s="143">
        <f t="shared" si="65"/>
        <v>152174398.05000001</v>
      </c>
      <c r="J48" s="143">
        <f t="shared" ref="J48" si="66">SUM(J49:J55)</f>
        <v>152174398.05000001</v>
      </c>
      <c r="K48" s="285">
        <f t="shared" si="65"/>
        <v>1745404.2699999977</v>
      </c>
      <c r="M48"/>
      <c r="N48"/>
      <c r="O48"/>
      <c r="P48"/>
      <c r="Q48"/>
    </row>
    <row r="49" spans="1:17" s="66" customFormat="1" x14ac:dyDescent="0.25">
      <c r="A49" s="75"/>
      <c r="B49" s="77"/>
      <c r="C49" s="76"/>
      <c r="D49" s="78">
        <v>15401</v>
      </c>
      <c r="E49" s="79" t="s">
        <v>522</v>
      </c>
      <c r="F49" s="186">
        <v>29828373.5</v>
      </c>
      <c r="G49" s="186">
        <v>2131350.2200000002</v>
      </c>
      <c r="H49" s="186">
        <f t="shared" ref="H49:H55" si="67">F49+G49</f>
        <v>31959723.719999999</v>
      </c>
      <c r="I49" s="186">
        <v>31519374.050000001</v>
      </c>
      <c r="J49" s="186">
        <v>31519374.050000001</v>
      </c>
      <c r="K49" s="283">
        <f t="shared" si="12"/>
        <v>440349.66999999806</v>
      </c>
      <c r="M49"/>
      <c r="N49"/>
      <c r="O49"/>
      <c r="P49"/>
      <c r="Q49"/>
    </row>
    <row r="50" spans="1:17" s="66" customFormat="1" x14ac:dyDescent="0.25">
      <c r="A50" s="75"/>
      <c r="B50" s="77"/>
      <c r="C50" s="76"/>
      <c r="D50" s="78">
        <v>15402</v>
      </c>
      <c r="E50" s="79" t="s">
        <v>523</v>
      </c>
      <c r="F50" s="186">
        <v>16377119.779999999</v>
      </c>
      <c r="G50" s="186">
        <v>1117611.47</v>
      </c>
      <c r="H50" s="186">
        <f t="shared" si="67"/>
        <v>17494731.25</v>
      </c>
      <c r="I50" s="186">
        <v>17260780.5</v>
      </c>
      <c r="J50" s="186">
        <v>17260780.5</v>
      </c>
      <c r="K50" s="283">
        <f t="shared" si="12"/>
        <v>233950.75</v>
      </c>
      <c r="M50"/>
      <c r="N50"/>
      <c r="O50"/>
      <c r="P50"/>
      <c r="Q50"/>
    </row>
    <row r="51" spans="1:17" s="66" customFormat="1" x14ac:dyDescent="0.25">
      <c r="A51" s="75"/>
      <c r="B51" s="77"/>
      <c r="C51" s="76"/>
      <c r="D51" s="78">
        <v>15403</v>
      </c>
      <c r="E51" s="79" t="s">
        <v>562</v>
      </c>
      <c r="F51" s="186">
        <v>61450576.520000003</v>
      </c>
      <c r="G51" s="186">
        <v>5334290.8499999996</v>
      </c>
      <c r="H51" s="186">
        <f t="shared" si="67"/>
        <v>66784867.370000005</v>
      </c>
      <c r="I51" s="186">
        <v>66236039.340000004</v>
      </c>
      <c r="J51" s="186">
        <v>66236039.340000004</v>
      </c>
      <c r="K51" s="283">
        <f t="shared" si="12"/>
        <v>548828.03000000119</v>
      </c>
      <c r="M51"/>
      <c r="N51"/>
      <c r="O51"/>
      <c r="P51"/>
      <c r="Q51"/>
    </row>
    <row r="52" spans="1:17" s="66" customFormat="1" x14ac:dyDescent="0.25">
      <c r="A52" s="75"/>
      <c r="B52" s="77"/>
      <c r="C52" s="76"/>
      <c r="D52" s="78">
        <v>15404</v>
      </c>
      <c r="E52" s="79" t="s">
        <v>524</v>
      </c>
      <c r="F52" s="186">
        <v>14380529.220000001</v>
      </c>
      <c r="G52" s="186">
        <v>0</v>
      </c>
      <c r="H52" s="186">
        <f t="shared" si="67"/>
        <v>14380529.220000001</v>
      </c>
      <c r="I52" s="186">
        <v>14380096.34</v>
      </c>
      <c r="J52" s="186">
        <v>14380096.34</v>
      </c>
      <c r="K52" s="283">
        <f t="shared" si="12"/>
        <v>432.88000000081956</v>
      </c>
      <c r="M52"/>
      <c r="N52"/>
      <c r="O52"/>
      <c r="P52"/>
      <c r="Q52"/>
    </row>
    <row r="53" spans="1:17" s="66" customFormat="1" x14ac:dyDescent="0.25">
      <c r="A53" s="75"/>
      <c r="B53" s="77"/>
      <c r="C53" s="76"/>
      <c r="D53" s="78">
        <v>15405</v>
      </c>
      <c r="E53" s="79" t="s">
        <v>525</v>
      </c>
      <c r="F53" s="186">
        <v>6260556.25</v>
      </c>
      <c r="G53" s="186">
        <v>-338317.45</v>
      </c>
      <c r="H53" s="186">
        <f t="shared" si="67"/>
        <v>5922238.7999999998</v>
      </c>
      <c r="I53" s="186">
        <v>5905478.4199999999</v>
      </c>
      <c r="J53" s="186">
        <v>5905478.4199999999</v>
      </c>
      <c r="K53" s="283">
        <f t="shared" si="12"/>
        <v>16760.379999999888</v>
      </c>
      <c r="M53"/>
      <c r="N53"/>
      <c r="O53"/>
      <c r="P53"/>
      <c r="Q53"/>
    </row>
    <row r="54" spans="1:17" s="66" customFormat="1" x14ac:dyDescent="0.25">
      <c r="A54" s="75"/>
      <c r="B54" s="77"/>
      <c r="C54" s="76"/>
      <c r="D54" s="78">
        <v>15406</v>
      </c>
      <c r="E54" s="79" t="s">
        <v>526</v>
      </c>
      <c r="F54" s="186">
        <v>11507475.539999999</v>
      </c>
      <c r="G54" s="186">
        <v>1133804.99</v>
      </c>
      <c r="H54" s="186">
        <f t="shared" si="67"/>
        <v>12641280.529999999</v>
      </c>
      <c r="I54" s="186">
        <v>12459767.960000001</v>
      </c>
      <c r="J54" s="186">
        <v>12459767.960000001</v>
      </c>
      <c r="K54" s="283">
        <f t="shared" si="12"/>
        <v>181512.56999999844</v>
      </c>
      <c r="M54"/>
      <c r="N54"/>
      <c r="O54"/>
      <c r="P54"/>
      <c r="Q54"/>
    </row>
    <row r="55" spans="1:17" s="66" customFormat="1" x14ac:dyDescent="0.25">
      <c r="A55" s="75"/>
      <c r="B55" s="77"/>
      <c r="C55" s="76"/>
      <c r="D55" s="78">
        <v>15412</v>
      </c>
      <c r="E55" s="79" t="s">
        <v>527</v>
      </c>
      <c r="F55" s="186">
        <v>3897376.2</v>
      </c>
      <c r="G55" s="186">
        <v>839055.23</v>
      </c>
      <c r="H55" s="186">
        <f t="shared" si="67"/>
        <v>4736431.43</v>
      </c>
      <c r="I55" s="186">
        <v>4412861.4400000004</v>
      </c>
      <c r="J55" s="186">
        <v>4412861.4400000004</v>
      </c>
      <c r="K55" s="283">
        <f t="shared" si="12"/>
        <v>323569.98999999929</v>
      </c>
      <c r="M55"/>
      <c r="N55"/>
      <c r="O55"/>
      <c r="P55"/>
      <c r="Q55"/>
    </row>
    <row r="56" spans="1:17" s="66" customFormat="1" hidden="1" x14ac:dyDescent="0.25">
      <c r="A56" s="75"/>
      <c r="B56" s="76"/>
      <c r="C56" s="106">
        <v>15500</v>
      </c>
      <c r="D56" s="179" t="s">
        <v>320</v>
      </c>
      <c r="E56" s="180"/>
      <c r="F56" s="143"/>
      <c r="G56" s="143">
        <f t="shared" ref="G56" si="68">SUM(G57)</f>
        <v>0</v>
      </c>
      <c r="H56" s="143">
        <f t="shared" ref="H56:K56" si="69">SUM(H57)</f>
        <v>0</v>
      </c>
      <c r="I56" s="143"/>
      <c r="J56" s="143"/>
      <c r="K56" s="285">
        <f t="shared" si="69"/>
        <v>0</v>
      </c>
      <c r="M56"/>
      <c r="N56"/>
      <c r="O56"/>
      <c r="P56"/>
      <c r="Q56"/>
    </row>
    <row r="57" spans="1:17" s="66" customFormat="1" hidden="1" x14ac:dyDescent="0.25">
      <c r="A57" s="75"/>
      <c r="B57" s="77"/>
      <c r="C57" s="76"/>
      <c r="D57" s="78">
        <v>15501</v>
      </c>
      <c r="E57" s="79" t="s">
        <v>321</v>
      </c>
      <c r="F57" s="186"/>
      <c r="G57" s="186"/>
      <c r="H57" s="186">
        <f t="shared" ref="H57" si="70">F57+G57</f>
        <v>0</v>
      </c>
      <c r="I57" s="186">
        <v>0</v>
      </c>
      <c r="J57" s="186">
        <v>0</v>
      </c>
      <c r="K57" s="283">
        <f t="shared" si="12"/>
        <v>0</v>
      </c>
      <c r="M57"/>
      <c r="N57"/>
      <c r="O57"/>
      <c r="P57"/>
      <c r="Q57"/>
    </row>
    <row r="58" spans="1:17" s="66" customFormat="1" x14ac:dyDescent="0.25">
      <c r="A58" s="75"/>
      <c r="B58" s="76"/>
      <c r="C58" s="106">
        <v>15900</v>
      </c>
      <c r="D58" s="179" t="s">
        <v>316</v>
      </c>
      <c r="E58" s="180"/>
      <c r="F58" s="143">
        <f>SUM(F60:F61)</f>
        <v>5732000</v>
      </c>
      <c r="G58" s="143">
        <f t="shared" ref="G58" si="71">SUM(G59:G61)</f>
        <v>-672000</v>
      </c>
      <c r="H58" s="143">
        <f t="shared" ref="H58:K58" si="72">SUM(H59:H61)</f>
        <v>5060000</v>
      </c>
      <c r="I58" s="143">
        <f t="shared" si="72"/>
        <v>3005526.11</v>
      </c>
      <c r="J58" s="143">
        <f t="shared" ref="J58" si="73">SUM(J59:J61)</f>
        <v>2872991.81</v>
      </c>
      <c r="K58" s="285">
        <f t="shared" si="72"/>
        <v>2054473.8900000001</v>
      </c>
      <c r="M58"/>
      <c r="N58"/>
      <c r="O58"/>
      <c r="P58"/>
      <c r="Q58"/>
    </row>
    <row r="59" spans="1:17" s="66" customFormat="1" hidden="1" x14ac:dyDescent="0.25">
      <c r="A59" s="75"/>
      <c r="B59" s="77"/>
      <c r="C59" s="76"/>
      <c r="D59" s="240">
        <v>15901</v>
      </c>
      <c r="E59" s="239" t="s">
        <v>545</v>
      </c>
      <c r="F59" s="186"/>
      <c r="G59" s="186"/>
      <c r="H59" s="186">
        <f t="shared" ref="H59:H61" si="74">F59+G59</f>
        <v>0</v>
      </c>
      <c r="I59" s="186">
        <v>0</v>
      </c>
      <c r="J59" s="186">
        <v>0</v>
      </c>
      <c r="K59" s="283">
        <f t="shared" si="12"/>
        <v>0</v>
      </c>
      <c r="M59"/>
      <c r="N59"/>
      <c r="O59"/>
      <c r="P59"/>
      <c r="Q59"/>
    </row>
    <row r="60" spans="1:17" s="66" customFormat="1" ht="30" x14ac:dyDescent="0.25">
      <c r="A60" s="75"/>
      <c r="B60" s="77"/>
      <c r="C60" s="76"/>
      <c r="D60" s="78">
        <v>15913</v>
      </c>
      <c r="E60" s="79" t="s">
        <v>322</v>
      </c>
      <c r="F60" s="186">
        <v>5060000</v>
      </c>
      <c r="G60" s="186"/>
      <c r="H60" s="186">
        <f t="shared" si="74"/>
        <v>5060000</v>
      </c>
      <c r="I60" s="186">
        <v>3005526.11</v>
      </c>
      <c r="J60" s="186">
        <f>3005526.11-132534.3</f>
        <v>2872991.81</v>
      </c>
      <c r="K60" s="283">
        <f t="shared" si="12"/>
        <v>2054473.8900000001</v>
      </c>
      <c r="M60" s="275"/>
      <c r="N60"/>
      <c r="O60"/>
      <c r="P60"/>
      <c r="Q60"/>
    </row>
    <row r="61" spans="1:17" s="66" customFormat="1" x14ac:dyDescent="0.25">
      <c r="A61" s="75"/>
      <c r="B61" s="77"/>
      <c r="C61" s="76"/>
      <c r="D61" s="78">
        <v>15914</v>
      </c>
      <c r="E61" s="79" t="s">
        <v>323</v>
      </c>
      <c r="F61" s="186">
        <v>672000</v>
      </c>
      <c r="G61" s="186">
        <v>-672000</v>
      </c>
      <c r="H61" s="186">
        <f t="shared" si="74"/>
        <v>0</v>
      </c>
      <c r="I61" s="186">
        <v>0</v>
      </c>
      <c r="J61" s="186">
        <v>0</v>
      </c>
      <c r="K61" s="283">
        <f t="shared" si="12"/>
        <v>0</v>
      </c>
      <c r="M61"/>
      <c r="N61"/>
      <c r="O61"/>
      <c r="P61"/>
      <c r="Q61"/>
    </row>
    <row r="62" spans="1:17" s="66" customFormat="1" x14ac:dyDescent="0.25">
      <c r="A62" s="75"/>
      <c r="B62" s="181">
        <v>17000</v>
      </c>
      <c r="C62" s="182" t="s">
        <v>324</v>
      </c>
      <c r="D62" s="183"/>
      <c r="E62" s="184"/>
      <c r="F62" s="142">
        <f t="shared" ref="F62:F63" si="75">SUM(F63)</f>
        <v>11600264.76</v>
      </c>
      <c r="G62" s="142">
        <f t="shared" ref="G62:G63" si="76">SUM(G63)</f>
        <v>-1097865</v>
      </c>
      <c r="H62" s="142">
        <f t="shared" ref="H62:K63" si="77">SUM(H63)</f>
        <v>10502399.76</v>
      </c>
      <c r="I62" s="142">
        <f t="shared" si="77"/>
        <v>10326300</v>
      </c>
      <c r="J62" s="142">
        <f t="shared" si="77"/>
        <v>10326300</v>
      </c>
      <c r="K62" s="284">
        <f t="shared" si="77"/>
        <v>176099.75999999978</v>
      </c>
      <c r="M62"/>
      <c r="N62"/>
      <c r="O62"/>
      <c r="P62"/>
      <c r="Q62"/>
    </row>
    <row r="63" spans="1:17" s="66" customFormat="1" x14ac:dyDescent="0.25">
      <c r="A63" s="75"/>
      <c r="B63" s="76"/>
      <c r="C63" s="106">
        <v>17100</v>
      </c>
      <c r="D63" s="179" t="s">
        <v>325</v>
      </c>
      <c r="E63" s="180"/>
      <c r="F63" s="143">
        <f t="shared" si="75"/>
        <v>11600264.76</v>
      </c>
      <c r="G63" s="143">
        <f t="shared" si="76"/>
        <v>-1097865</v>
      </c>
      <c r="H63" s="143">
        <f t="shared" si="77"/>
        <v>10502399.76</v>
      </c>
      <c r="I63" s="143">
        <f t="shared" si="77"/>
        <v>10326300</v>
      </c>
      <c r="J63" s="143">
        <f t="shared" si="77"/>
        <v>10326300</v>
      </c>
      <c r="K63" s="285">
        <f t="shared" si="77"/>
        <v>176099.75999999978</v>
      </c>
      <c r="M63"/>
      <c r="N63"/>
      <c r="O63"/>
      <c r="P63"/>
      <c r="Q63"/>
    </row>
    <row r="64" spans="1:17" s="66" customFormat="1" x14ac:dyDescent="0.25">
      <c r="A64" s="75"/>
      <c r="B64" s="77"/>
      <c r="C64" s="76"/>
      <c r="D64" s="78">
        <v>17101</v>
      </c>
      <c r="E64" s="79" t="s">
        <v>528</v>
      </c>
      <c r="F64" s="186">
        <v>11600264.76</v>
      </c>
      <c r="G64" s="186">
        <v>-1097865</v>
      </c>
      <c r="H64" s="186">
        <f t="shared" ref="H64" si="78">F64+G64</f>
        <v>10502399.76</v>
      </c>
      <c r="I64" s="186">
        <v>10326300</v>
      </c>
      <c r="J64" s="186">
        <v>10326300</v>
      </c>
      <c r="K64" s="283">
        <f t="shared" si="12"/>
        <v>176099.75999999978</v>
      </c>
      <c r="M64"/>
      <c r="N64"/>
      <c r="O64"/>
      <c r="P64"/>
      <c r="Q64"/>
    </row>
    <row r="65" spans="1:17" s="66" customFormat="1" x14ac:dyDescent="0.25">
      <c r="A65" s="75"/>
      <c r="B65" s="77"/>
      <c r="C65" s="76"/>
      <c r="D65" s="78"/>
      <c r="E65" s="79"/>
      <c r="F65" s="186"/>
      <c r="G65" s="186"/>
      <c r="H65" s="186"/>
      <c r="I65" s="186"/>
      <c r="J65" s="186"/>
      <c r="K65" s="283"/>
      <c r="M65"/>
      <c r="N65"/>
      <c r="O65"/>
      <c r="P65"/>
      <c r="Q65"/>
    </row>
    <row r="66" spans="1:17" s="66" customFormat="1" x14ac:dyDescent="0.25">
      <c r="A66" s="67">
        <v>20000</v>
      </c>
      <c r="B66" s="68" t="s">
        <v>326</v>
      </c>
      <c r="C66" s="69"/>
      <c r="D66" s="69"/>
      <c r="E66" s="70"/>
      <c r="F66" s="141">
        <f>SUM(F67,F81,F88,F105,F112,F116,F122)</f>
        <v>15158792.625</v>
      </c>
      <c r="G66" s="141">
        <f t="shared" ref="G66" si="79">SUM(G67,G81,G88,G105,G112,G116,G122)</f>
        <v>2432983</v>
      </c>
      <c r="H66" s="141">
        <f t="shared" ref="H66:K66" si="80">SUM(H67,H81,H88,H105,H112,H116,H122)</f>
        <v>17591775.625</v>
      </c>
      <c r="I66" s="141">
        <f t="shared" ref="I66:J66" si="81">SUM(I67,I81,I88,I105,I112,I116,I122)</f>
        <v>16151402.84</v>
      </c>
      <c r="J66" s="141">
        <f t="shared" si="81"/>
        <v>13875925.380000001</v>
      </c>
      <c r="K66" s="283">
        <f t="shared" si="80"/>
        <v>1440372.7850000011</v>
      </c>
      <c r="M66" s="268">
        <f>I66-J66</f>
        <v>2275477.459999999</v>
      </c>
      <c r="N66" s="267"/>
      <c r="O66"/>
      <c r="P66"/>
      <c r="Q66"/>
    </row>
    <row r="67" spans="1:17" s="66" customFormat="1" x14ac:dyDescent="0.25">
      <c r="A67" s="75"/>
      <c r="B67" s="181">
        <v>21000</v>
      </c>
      <c r="C67" s="182" t="s">
        <v>327</v>
      </c>
      <c r="D67" s="183"/>
      <c r="E67" s="184"/>
      <c r="F67" s="142">
        <f t="shared" ref="F67:G67" si="82">SUM(F68,F71,F73,F75,F77,F79)</f>
        <v>7621299.4299999997</v>
      </c>
      <c r="G67" s="142">
        <f t="shared" si="82"/>
        <v>98265</v>
      </c>
      <c r="H67" s="142">
        <f t="shared" ref="H67:K67" si="83">SUM(H68,H71,H73,H75,H77,H79)</f>
        <v>7719564.4299999997</v>
      </c>
      <c r="I67" s="142">
        <f t="shared" ref="I67:J67" si="84">SUM(I68,I71,I73,I75,I77,I79)</f>
        <v>6934849.669999999</v>
      </c>
      <c r="J67" s="142">
        <f t="shared" si="84"/>
        <v>5262172.1900000004</v>
      </c>
      <c r="K67" s="284">
        <f t="shared" si="83"/>
        <v>784714.76000000013</v>
      </c>
      <c r="M67" s="276">
        <v>2275477.46</v>
      </c>
      <c r="N67"/>
      <c r="O67"/>
      <c r="P67"/>
      <c r="Q67"/>
    </row>
    <row r="68" spans="1:17" s="66" customFormat="1" x14ac:dyDescent="0.25">
      <c r="A68" s="75"/>
      <c r="B68" s="76"/>
      <c r="C68" s="106">
        <v>21100</v>
      </c>
      <c r="D68" s="179" t="s">
        <v>328</v>
      </c>
      <c r="E68" s="180"/>
      <c r="F68" s="143">
        <f t="shared" ref="F68:G68" si="85">SUM(F69:F70)</f>
        <v>4310243.26</v>
      </c>
      <c r="G68" s="143">
        <f t="shared" si="85"/>
        <v>0</v>
      </c>
      <c r="H68" s="143">
        <f t="shared" ref="H68:K68" si="86">SUM(H69:H70)</f>
        <v>4310243.26</v>
      </c>
      <c r="I68" s="143">
        <f t="shared" ref="I68:J68" si="87">SUM(I69:I70)</f>
        <v>4083344.4299999997</v>
      </c>
      <c r="J68" s="143">
        <f t="shared" si="87"/>
        <v>3072089.93</v>
      </c>
      <c r="K68" s="285">
        <f t="shared" si="86"/>
        <v>226898.83000000019</v>
      </c>
      <c r="M68" s="267">
        <f>M66-M67</f>
        <v>0</v>
      </c>
      <c r="N68"/>
      <c r="O68"/>
      <c r="P68"/>
      <c r="Q68"/>
    </row>
    <row r="69" spans="1:17" s="66" customFormat="1" x14ac:dyDescent="0.25">
      <c r="A69" s="75"/>
      <c r="B69" s="77"/>
      <c r="C69" s="76"/>
      <c r="D69" s="78">
        <v>21101</v>
      </c>
      <c r="E69" s="79" t="s">
        <v>529</v>
      </c>
      <c r="F69" s="186">
        <f>4284443+0.29</f>
        <v>4284443.29</v>
      </c>
      <c r="G69" s="186"/>
      <c r="H69" s="186">
        <f t="shared" ref="H69:H70" si="88">F69+G69</f>
        <v>4284443.29</v>
      </c>
      <c r="I69" s="186">
        <v>4057860.59</v>
      </c>
      <c r="J69" s="186">
        <f>4057860.59-1060725.3+50000</f>
        <v>3047135.29</v>
      </c>
      <c r="K69" s="283">
        <f t="shared" si="12"/>
        <v>226582.70000000019</v>
      </c>
      <c r="M69"/>
      <c r="N69"/>
      <c r="O69"/>
      <c r="P69"/>
      <c r="Q69"/>
    </row>
    <row r="70" spans="1:17" s="66" customFormat="1" x14ac:dyDescent="0.25">
      <c r="A70" s="75"/>
      <c r="B70" s="77"/>
      <c r="C70" s="76"/>
      <c r="D70" s="78">
        <v>21102</v>
      </c>
      <c r="E70" s="79" t="s">
        <v>530</v>
      </c>
      <c r="F70" s="186">
        <v>25799.97</v>
      </c>
      <c r="G70" s="186"/>
      <c r="H70" s="186">
        <f t="shared" si="88"/>
        <v>25799.97</v>
      </c>
      <c r="I70" s="186">
        <v>25483.84</v>
      </c>
      <c r="J70" s="186">
        <f>25483.84-529.2</f>
        <v>24954.639999999999</v>
      </c>
      <c r="K70" s="283">
        <f t="shared" si="12"/>
        <v>316.13000000000102</v>
      </c>
      <c r="M70"/>
      <c r="N70"/>
      <c r="O70"/>
      <c r="P70"/>
      <c r="Q70"/>
    </row>
    <row r="71" spans="1:17" s="66" customFormat="1" x14ac:dyDescent="0.25">
      <c r="A71" s="75"/>
      <c r="B71" s="76"/>
      <c r="C71" s="106">
        <v>21200</v>
      </c>
      <c r="D71" s="179" t="s">
        <v>329</v>
      </c>
      <c r="E71" s="180"/>
      <c r="F71" s="143">
        <f t="shared" ref="F71" si="89">SUM(F72)</f>
        <v>189460.8</v>
      </c>
      <c r="G71" s="143">
        <f t="shared" ref="G71" si="90">SUM(G72)</f>
        <v>0</v>
      </c>
      <c r="H71" s="143">
        <f t="shared" ref="H71:K71" si="91">SUM(H72)</f>
        <v>189460.8</v>
      </c>
      <c r="I71" s="143">
        <f t="shared" si="91"/>
        <v>135946.04999999999</v>
      </c>
      <c r="J71" s="143">
        <f t="shared" si="91"/>
        <v>102065.09999999999</v>
      </c>
      <c r="K71" s="285">
        <f t="shared" si="91"/>
        <v>53514.75</v>
      </c>
      <c r="M71"/>
      <c r="N71"/>
      <c r="O71"/>
      <c r="P71"/>
      <c r="Q71"/>
    </row>
    <row r="72" spans="1:17" s="66" customFormat="1" ht="30" x14ac:dyDescent="0.25">
      <c r="A72" s="75"/>
      <c r="B72" s="77"/>
      <c r="C72" s="76"/>
      <c r="D72" s="78">
        <v>21201</v>
      </c>
      <c r="E72" s="79" t="s">
        <v>329</v>
      </c>
      <c r="F72" s="186">
        <v>189460.8</v>
      </c>
      <c r="G72" s="186"/>
      <c r="H72" s="186">
        <f t="shared" ref="H72" si="92">F72+G72</f>
        <v>189460.8</v>
      </c>
      <c r="I72" s="186">
        <v>135946.04999999999</v>
      </c>
      <c r="J72" s="186">
        <f>135946.05-33880.95</f>
        <v>102065.09999999999</v>
      </c>
      <c r="K72" s="283">
        <f t="shared" si="12"/>
        <v>53514.75</v>
      </c>
      <c r="M72"/>
      <c r="N72"/>
      <c r="O72"/>
      <c r="P72"/>
      <c r="Q72"/>
    </row>
    <row r="73" spans="1:17" s="66" customFormat="1" x14ac:dyDescent="0.25">
      <c r="A73" s="75"/>
      <c r="B73" s="76"/>
      <c r="C73" s="106">
        <v>21400</v>
      </c>
      <c r="D73" s="179" t="s">
        <v>330</v>
      </c>
      <c r="E73" s="180"/>
      <c r="F73" s="143">
        <f t="shared" ref="F73" si="93">SUM(F74)</f>
        <v>1911245</v>
      </c>
      <c r="G73" s="143">
        <f t="shared" ref="G73" si="94">SUM(G74)</f>
        <v>98265</v>
      </c>
      <c r="H73" s="143">
        <f t="shared" ref="H73:K73" si="95">SUM(H74)</f>
        <v>2009510</v>
      </c>
      <c r="I73" s="143">
        <f t="shared" si="95"/>
        <v>1574552.49</v>
      </c>
      <c r="J73" s="143">
        <f t="shared" si="95"/>
        <v>1047546.71</v>
      </c>
      <c r="K73" s="285">
        <f t="shared" si="95"/>
        <v>434957.51</v>
      </c>
      <c r="M73"/>
      <c r="N73"/>
      <c r="O73"/>
      <c r="P73"/>
      <c r="Q73"/>
    </row>
    <row r="74" spans="1:17" s="66" customFormat="1" ht="45" x14ac:dyDescent="0.25">
      <c r="A74" s="75"/>
      <c r="B74" s="77"/>
      <c r="C74" s="76"/>
      <c r="D74" s="78">
        <v>21401</v>
      </c>
      <c r="E74" s="79" t="s">
        <v>331</v>
      </c>
      <c r="F74" s="186">
        <v>1911245</v>
      </c>
      <c r="G74" s="186">
        <v>98265</v>
      </c>
      <c r="H74" s="186">
        <f t="shared" ref="H74" si="96">F74+G74</f>
        <v>2009510</v>
      </c>
      <c r="I74" s="186">
        <v>1574552.49</v>
      </c>
      <c r="J74" s="186">
        <f>1574552.49-627005.78+100000</f>
        <v>1047546.71</v>
      </c>
      <c r="K74" s="283">
        <f t="shared" si="12"/>
        <v>434957.51</v>
      </c>
      <c r="M74"/>
      <c r="N74"/>
      <c r="O74"/>
      <c r="P74"/>
      <c r="Q74"/>
    </row>
    <row r="75" spans="1:17" s="66" customFormat="1" x14ac:dyDescent="0.25">
      <c r="A75" s="75"/>
      <c r="B75" s="76"/>
      <c r="C75" s="106">
        <v>21500</v>
      </c>
      <c r="D75" s="179" t="s">
        <v>332</v>
      </c>
      <c r="E75" s="180"/>
      <c r="F75" s="143">
        <f t="shared" ref="F75" si="97">SUM(F76)</f>
        <v>271652.21000000002</v>
      </c>
      <c r="G75" s="143">
        <f t="shared" ref="G75" si="98">SUM(G76)</f>
        <v>0</v>
      </c>
      <c r="H75" s="143">
        <f t="shared" ref="H75:K75" si="99">SUM(H76)</f>
        <v>271652.21000000002</v>
      </c>
      <c r="I75" s="143">
        <f t="shared" si="99"/>
        <v>270026.88</v>
      </c>
      <c r="J75" s="143">
        <f t="shared" si="99"/>
        <v>229559.6</v>
      </c>
      <c r="K75" s="285">
        <f t="shared" si="99"/>
        <v>1625.3300000000163</v>
      </c>
      <c r="M75"/>
      <c r="N75"/>
      <c r="O75"/>
      <c r="P75"/>
      <c r="Q75"/>
    </row>
    <row r="76" spans="1:17" s="66" customFormat="1" x14ac:dyDescent="0.25">
      <c r="A76" s="75"/>
      <c r="B76" s="77"/>
      <c r="C76" s="76"/>
      <c r="D76" s="78">
        <v>21501</v>
      </c>
      <c r="E76" s="79" t="s">
        <v>333</v>
      </c>
      <c r="F76" s="186">
        <v>271652.21000000002</v>
      </c>
      <c r="G76" s="186"/>
      <c r="H76" s="186">
        <f t="shared" ref="H76" si="100">F76+G76</f>
        <v>271652.21000000002</v>
      </c>
      <c r="I76" s="186">
        <v>270026.88</v>
      </c>
      <c r="J76" s="186">
        <f>270026.88-40467.28</f>
        <v>229559.6</v>
      </c>
      <c r="K76" s="283">
        <f t="shared" si="12"/>
        <v>1625.3300000000163</v>
      </c>
      <c r="M76"/>
      <c r="N76"/>
      <c r="O76"/>
      <c r="P76"/>
      <c r="Q76"/>
    </row>
    <row r="77" spans="1:17" s="66" customFormat="1" x14ac:dyDescent="0.25">
      <c r="A77" s="75"/>
      <c r="B77" s="76"/>
      <c r="C77" s="106">
        <v>21600</v>
      </c>
      <c r="D77" s="179" t="s">
        <v>334</v>
      </c>
      <c r="E77" s="180"/>
      <c r="F77" s="143">
        <f t="shared" ref="F77" si="101">SUM(F78)</f>
        <v>919274.96</v>
      </c>
      <c r="G77" s="143">
        <f t="shared" ref="G77" si="102">SUM(G78)</f>
        <v>0</v>
      </c>
      <c r="H77" s="143">
        <f t="shared" ref="H77:K77" si="103">SUM(H78)</f>
        <v>919274.96</v>
      </c>
      <c r="I77" s="143">
        <f t="shared" si="103"/>
        <v>860167.76</v>
      </c>
      <c r="J77" s="143">
        <f t="shared" si="103"/>
        <v>802954.49</v>
      </c>
      <c r="K77" s="285">
        <f t="shared" si="103"/>
        <v>59107.199999999953</v>
      </c>
      <c r="M77"/>
      <c r="N77"/>
      <c r="O77"/>
      <c r="P77"/>
      <c r="Q77"/>
    </row>
    <row r="78" spans="1:17" s="66" customFormat="1" x14ac:dyDescent="0.25">
      <c r="A78" s="75"/>
      <c r="B78" s="77"/>
      <c r="C78" s="76"/>
      <c r="D78" s="78">
        <v>21601</v>
      </c>
      <c r="E78" s="79" t="s">
        <v>334</v>
      </c>
      <c r="F78" s="186">
        <v>919274.96</v>
      </c>
      <c r="G78" s="186"/>
      <c r="H78" s="186">
        <f t="shared" ref="H78" si="104">F78+G78</f>
        <v>919274.96</v>
      </c>
      <c r="I78" s="186">
        <v>860167.76</v>
      </c>
      <c r="J78" s="186">
        <f>860167.76-57213.27</f>
        <v>802954.49</v>
      </c>
      <c r="K78" s="283">
        <f t="shared" si="12"/>
        <v>59107.199999999953</v>
      </c>
      <c r="M78"/>
      <c r="N78"/>
      <c r="O78"/>
      <c r="P78"/>
      <c r="Q78"/>
    </row>
    <row r="79" spans="1:17" s="66" customFormat="1" x14ac:dyDescent="0.25">
      <c r="A79" s="75"/>
      <c r="B79" s="76"/>
      <c r="C79" s="106">
        <v>21800</v>
      </c>
      <c r="D79" s="179" t="s">
        <v>335</v>
      </c>
      <c r="E79" s="180"/>
      <c r="F79" s="143">
        <f t="shared" ref="F79" si="105">SUM(F80)</f>
        <v>19423.2</v>
      </c>
      <c r="G79" s="143">
        <f t="shared" ref="G79" si="106">SUM(G80)</f>
        <v>0</v>
      </c>
      <c r="H79" s="143">
        <f t="shared" ref="H79:K79" si="107">SUM(H80)</f>
        <v>19423.2</v>
      </c>
      <c r="I79" s="143">
        <f t="shared" si="107"/>
        <v>10812.06</v>
      </c>
      <c r="J79" s="143">
        <f t="shared" si="107"/>
        <v>7956.36</v>
      </c>
      <c r="K79" s="285">
        <f t="shared" si="107"/>
        <v>8611.1400000000012</v>
      </c>
      <c r="M79"/>
      <c r="N79"/>
      <c r="O79"/>
      <c r="P79"/>
      <c r="Q79"/>
    </row>
    <row r="80" spans="1:17" s="66" customFormat="1" x14ac:dyDescent="0.25">
      <c r="A80" s="75"/>
      <c r="B80" s="77"/>
      <c r="C80" s="76"/>
      <c r="D80" s="78">
        <v>21801</v>
      </c>
      <c r="E80" s="79" t="s">
        <v>336</v>
      </c>
      <c r="F80" s="186">
        <v>19423.2</v>
      </c>
      <c r="G80" s="186"/>
      <c r="H80" s="186">
        <f t="shared" ref="H80" si="108">F80+G80</f>
        <v>19423.2</v>
      </c>
      <c r="I80" s="186">
        <v>10812.06</v>
      </c>
      <c r="J80" s="186">
        <f>10812.06-2855.7</f>
        <v>7956.36</v>
      </c>
      <c r="K80" s="283">
        <f t="shared" si="12"/>
        <v>8611.1400000000012</v>
      </c>
      <c r="M80"/>
      <c r="N80"/>
      <c r="O80"/>
      <c r="P80"/>
      <c r="Q80"/>
    </row>
    <row r="81" spans="1:17" s="66" customFormat="1" x14ac:dyDescent="0.25">
      <c r="A81" s="75"/>
      <c r="B81" s="181">
        <v>22000</v>
      </c>
      <c r="C81" s="182" t="s">
        <v>337</v>
      </c>
      <c r="D81" s="183"/>
      <c r="E81" s="184"/>
      <c r="F81" s="142">
        <f t="shared" ref="F81:G81" si="109">SUM(F82,F86)</f>
        <v>346426.62</v>
      </c>
      <c r="G81" s="142">
        <f t="shared" si="109"/>
        <v>-3482</v>
      </c>
      <c r="H81" s="142">
        <f t="shared" ref="H81:K81" si="110">SUM(H82,H86)</f>
        <v>342944.62</v>
      </c>
      <c r="I81" s="142">
        <f t="shared" ref="I81:J81" si="111">SUM(I82,I86)</f>
        <v>334784.97000000003</v>
      </c>
      <c r="J81" s="142">
        <f t="shared" si="111"/>
        <v>287831.05</v>
      </c>
      <c r="K81" s="284">
        <f t="shared" si="110"/>
        <v>8159.6499999999596</v>
      </c>
      <c r="M81"/>
      <c r="N81"/>
      <c r="O81"/>
      <c r="P81"/>
      <c r="Q81"/>
    </row>
    <row r="82" spans="1:17" s="66" customFormat="1" x14ac:dyDescent="0.25">
      <c r="A82" s="75"/>
      <c r="B82" s="76"/>
      <c r="C82" s="106">
        <v>22100</v>
      </c>
      <c r="D82" s="179" t="s">
        <v>338</v>
      </c>
      <c r="E82" s="180"/>
      <c r="F82" s="143">
        <f t="shared" ref="F82" si="112">SUM(F83:F85)</f>
        <v>341315.22</v>
      </c>
      <c r="G82" s="143">
        <f t="shared" ref="G82" si="113">SUM(G83:G85)</f>
        <v>0</v>
      </c>
      <c r="H82" s="143">
        <f t="shared" ref="H82:K82" si="114">SUM(H83:H85)</f>
        <v>341315.22</v>
      </c>
      <c r="I82" s="143">
        <f t="shared" ref="I82:J82" si="115">SUM(I83:I85)</f>
        <v>333155.79000000004</v>
      </c>
      <c r="J82" s="143">
        <f t="shared" si="115"/>
        <v>286201.87</v>
      </c>
      <c r="K82" s="285">
        <f t="shared" si="114"/>
        <v>8159.4299999999603</v>
      </c>
      <c r="M82"/>
      <c r="N82"/>
      <c r="O82"/>
      <c r="P82"/>
      <c r="Q82"/>
    </row>
    <row r="83" spans="1:17" s="66" customFormat="1" x14ac:dyDescent="0.25">
      <c r="A83" s="75"/>
      <c r="B83" s="77"/>
      <c r="C83" s="76"/>
      <c r="D83" s="78">
        <v>22104</v>
      </c>
      <c r="E83" s="79" t="s">
        <v>339</v>
      </c>
      <c r="F83" s="186">
        <v>36956.400000000001</v>
      </c>
      <c r="G83" s="186"/>
      <c r="H83" s="186">
        <f t="shared" ref="H83" si="116">F83+G83</f>
        <v>36956.400000000001</v>
      </c>
      <c r="I83" s="186">
        <v>36682.129999999997</v>
      </c>
      <c r="J83" s="186">
        <f>36682.13-4788.92</f>
        <v>31893.21</v>
      </c>
      <c r="K83" s="283">
        <f t="shared" ref="K83:K143" si="117">H83-I83</f>
        <v>274.27000000000407</v>
      </c>
      <c r="M83"/>
      <c r="N83"/>
      <c r="O83"/>
      <c r="P83"/>
      <c r="Q83"/>
    </row>
    <row r="84" spans="1:17" s="66" customFormat="1" x14ac:dyDescent="0.25">
      <c r="A84" s="75"/>
      <c r="B84" s="77"/>
      <c r="C84" s="76"/>
      <c r="D84" s="78">
        <v>22105</v>
      </c>
      <c r="E84" s="79" t="s">
        <v>340</v>
      </c>
      <c r="F84" s="186">
        <v>266511.46999999997</v>
      </c>
      <c r="G84" s="186"/>
      <c r="H84" s="186">
        <f t="shared" ref="H84" si="118">F84+G84</f>
        <v>266511.46999999997</v>
      </c>
      <c r="I84" s="186">
        <v>263843.64</v>
      </c>
      <c r="J84" s="186">
        <f>263843.64-37632</f>
        <v>226211.64</v>
      </c>
      <c r="K84" s="283">
        <f t="shared" si="117"/>
        <v>2667.8299999999581</v>
      </c>
      <c r="M84"/>
      <c r="N84"/>
      <c r="O84"/>
      <c r="P84"/>
      <c r="Q84"/>
    </row>
    <row r="85" spans="1:17" s="66" customFormat="1" x14ac:dyDescent="0.25">
      <c r="A85" s="75"/>
      <c r="B85" s="77"/>
      <c r="C85" s="76"/>
      <c r="D85" s="78">
        <v>22106</v>
      </c>
      <c r="E85" s="79" t="s">
        <v>341</v>
      </c>
      <c r="F85" s="186">
        <v>37847.35</v>
      </c>
      <c r="G85" s="186"/>
      <c r="H85" s="186">
        <f t="shared" ref="H85" si="119">F85+G85</f>
        <v>37847.35</v>
      </c>
      <c r="I85" s="186">
        <v>32630.02</v>
      </c>
      <c r="J85" s="186">
        <f>32630.02-4533</f>
        <v>28097.02</v>
      </c>
      <c r="K85" s="283">
        <f t="shared" si="117"/>
        <v>5217.3299999999981</v>
      </c>
      <c r="M85"/>
      <c r="N85"/>
      <c r="O85"/>
      <c r="P85"/>
      <c r="Q85"/>
    </row>
    <row r="86" spans="1:17" s="66" customFormat="1" x14ac:dyDescent="0.25">
      <c r="A86" s="75"/>
      <c r="B86" s="76"/>
      <c r="C86" s="106">
        <v>22300</v>
      </c>
      <c r="D86" s="179" t="s">
        <v>563</v>
      </c>
      <c r="E86" s="180"/>
      <c r="F86" s="143">
        <f t="shared" ref="F86" si="120">SUM(F87)</f>
        <v>5111.3999999999996</v>
      </c>
      <c r="G86" s="143">
        <f t="shared" ref="G86" si="121">SUM(G87)</f>
        <v>-3482</v>
      </c>
      <c r="H86" s="143">
        <f t="shared" ref="H86:K86" si="122">SUM(H87)</f>
        <v>1629.3999999999996</v>
      </c>
      <c r="I86" s="143">
        <f t="shared" si="122"/>
        <v>1629.18</v>
      </c>
      <c r="J86" s="143">
        <f t="shared" si="122"/>
        <v>1629.18</v>
      </c>
      <c r="K86" s="285">
        <f t="shared" si="122"/>
        <v>0.21999999999957254</v>
      </c>
      <c r="M86"/>
      <c r="N86"/>
      <c r="O86"/>
      <c r="P86"/>
      <c r="Q86"/>
    </row>
    <row r="87" spans="1:17" s="66" customFormat="1" ht="30" x14ac:dyDescent="0.25">
      <c r="A87" s="75"/>
      <c r="B87" s="77"/>
      <c r="C87" s="80"/>
      <c r="D87" s="83">
        <v>22301</v>
      </c>
      <c r="E87" s="84" t="s">
        <v>563</v>
      </c>
      <c r="F87" s="186">
        <v>5111.3999999999996</v>
      </c>
      <c r="G87" s="186">
        <v>-3482</v>
      </c>
      <c r="H87" s="186">
        <f t="shared" ref="H87" si="123">F87+G87</f>
        <v>1629.3999999999996</v>
      </c>
      <c r="I87" s="186">
        <v>1629.18</v>
      </c>
      <c r="J87" s="186">
        <v>1629.18</v>
      </c>
      <c r="K87" s="283">
        <f t="shared" si="117"/>
        <v>0.21999999999957254</v>
      </c>
      <c r="M87"/>
      <c r="N87"/>
      <c r="O87"/>
      <c r="P87"/>
      <c r="Q87"/>
    </row>
    <row r="88" spans="1:17" s="66" customFormat="1" x14ac:dyDescent="0.25">
      <c r="A88" s="75"/>
      <c r="B88" s="181">
        <v>24000</v>
      </c>
      <c r="C88" s="182" t="s">
        <v>531</v>
      </c>
      <c r="D88" s="183"/>
      <c r="E88" s="184"/>
      <c r="F88" s="142">
        <f>SUM(F97,F99,F101,F103)</f>
        <v>862682.84000000008</v>
      </c>
      <c r="G88" s="142">
        <f t="shared" ref="G88" si="124">SUM(G89,G91,G93,G95,G97,G99,G101,G103)</f>
        <v>-41500</v>
      </c>
      <c r="H88" s="142">
        <f t="shared" ref="H88:K88" si="125">SUM(H89,H91,H93,H95,H97,H99,H101,H103)</f>
        <v>821182.84000000008</v>
      </c>
      <c r="I88" s="142">
        <f t="shared" ref="I88:J88" si="126">SUM(I89,I91,I93,I95,I97,I99,I101,I103)</f>
        <v>673726.11</v>
      </c>
      <c r="J88" s="142">
        <f t="shared" si="126"/>
        <v>497597.03</v>
      </c>
      <c r="K88" s="284">
        <f t="shared" si="125"/>
        <v>147456.73000000004</v>
      </c>
      <c r="M88"/>
      <c r="N88"/>
      <c r="O88"/>
      <c r="P88"/>
      <c r="Q88"/>
    </row>
    <row r="89" spans="1:17" s="66" customFormat="1" hidden="1" x14ac:dyDescent="0.25">
      <c r="A89" s="75"/>
      <c r="B89" s="76"/>
      <c r="C89" s="106">
        <v>24200</v>
      </c>
      <c r="D89" s="179" t="s">
        <v>342</v>
      </c>
      <c r="E89" s="180"/>
      <c r="F89" s="143"/>
      <c r="G89" s="143">
        <f t="shared" ref="G89" si="127">SUM(G90)</f>
        <v>0</v>
      </c>
      <c r="H89" s="143">
        <f t="shared" ref="H89:K89" si="128">SUM(H90)</f>
        <v>0</v>
      </c>
      <c r="I89" s="143">
        <f t="shared" si="128"/>
        <v>0</v>
      </c>
      <c r="J89" s="143">
        <f t="shared" si="128"/>
        <v>0</v>
      </c>
      <c r="K89" s="285">
        <f t="shared" si="128"/>
        <v>0</v>
      </c>
      <c r="M89"/>
      <c r="N89"/>
      <c r="O89"/>
      <c r="P89"/>
      <c r="Q89"/>
    </row>
    <row r="90" spans="1:17" s="66" customFormat="1" hidden="1" x14ac:dyDescent="0.25">
      <c r="A90" s="75"/>
      <c r="B90" s="77"/>
      <c r="C90" s="76"/>
      <c r="D90" s="78">
        <v>24201</v>
      </c>
      <c r="E90" s="79" t="s">
        <v>342</v>
      </c>
      <c r="F90" s="186"/>
      <c r="G90" s="186"/>
      <c r="H90" s="186">
        <f t="shared" ref="H90:J143" si="129">F90+G90</f>
        <v>0</v>
      </c>
      <c r="I90" s="186">
        <f t="shared" si="129"/>
        <v>0</v>
      </c>
      <c r="J90" s="186">
        <f t="shared" si="129"/>
        <v>0</v>
      </c>
      <c r="K90" s="283">
        <f t="shared" si="117"/>
        <v>0</v>
      </c>
      <c r="M90"/>
      <c r="N90"/>
      <c r="O90"/>
      <c r="P90"/>
      <c r="Q90"/>
    </row>
    <row r="91" spans="1:17" s="66" customFormat="1" hidden="1" x14ac:dyDescent="0.25">
      <c r="A91" s="75"/>
      <c r="B91" s="76"/>
      <c r="C91" s="106">
        <v>24300</v>
      </c>
      <c r="D91" s="179" t="s">
        <v>343</v>
      </c>
      <c r="E91" s="180"/>
      <c r="F91" s="143"/>
      <c r="G91" s="143">
        <f t="shared" ref="G91" si="130">SUM(G92)</f>
        <v>0</v>
      </c>
      <c r="H91" s="143">
        <f t="shared" ref="H91:K91" si="131">SUM(H92)</f>
        <v>0</v>
      </c>
      <c r="I91" s="143">
        <f t="shared" si="131"/>
        <v>0</v>
      </c>
      <c r="J91" s="143">
        <f t="shared" si="131"/>
        <v>0</v>
      </c>
      <c r="K91" s="285">
        <f t="shared" si="131"/>
        <v>0</v>
      </c>
      <c r="M91"/>
      <c r="N91"/>
      <c r="O91"/>
      <c r="P91"/>
      <c r="Q91"/>
    </row>
    <row r="92" spans="1:17" s="66" customFormat="1" hidden="1" x14ac:dyDescent="0.25">
      <c r="A92" s="75"/>
      <c r="B92" s="77"/>
      <c r="C92" s="76"/>
      <c r="D92" s="78">
        <v>24301</v>
      </c>
      <c r="E92" s="79" t="s">
        <v>343</v>
      </c>
      <c r="F92" s="186"/>
      <c r="G92" s="186"/>
      <c r="H92" s="186">
        <f t="shared" si="129"/>
        <v>0</v>
      </c>
      <c r="I92" s="186">
        <f t="shared" si="129"/>
        <v>0</v>
      </c>
      <c r="J92" s="186">
        <f t="shared" si="129"/>
        <v>0</v>
      </c>
      <c r="K92" s="283">
        <f t="shared" si="117"/>
        <v>0</v>
      </c>
      <c r="M92"/>
      <c r="N92"/>
      <c r="O92"/>
      <c r="P92"/>
      <c r="Q92"/>
    </row>
    <row r="93" spans="1:17" s="66" customFormat="1" hidden="1" x14ac:dyDescent="0.25">
      <c r="A93" s="75"/>
      <c r="B93" s="76"/>
      <c r="C93" s="106">
        <v>24400</v>
      </c>
      <c r="D93" s="179" t="s">
        <v>344</v>
      </c>
      <c r="E93" s="180"/>
      <c r="F93" s="143"/>
      <c r="G93" s="143">
        <f t="shared" ref="G93" si="132">SUM(G94)</f>
        <v>0</v>
      </c>
      <c r="H93" s="143">
        <f t="shared" ref="H93:K93" si="133">SUM(H94)</f>
        <v>0</v>
      </c>
      <c r="I93" s="143">
        <f t="shared" si="133"/>
        <v>0</v>
      </c>
      <c r="J93" s="143">
        <f t="shared" si="133"/>
        <v>0</v>
      </c>
      <c r="K93" s="285">
        <f t="shared" si="133"/>
        <v>0</v>
      </c>
      <c r="M93"/>
      <c r="N93"/>
      <c r="O93"/>
      <c r="P93"/>
      <c r="Q93"/>
    </row>
    <row r="94" spans="1:17" s="66" customFormat="1" hidden="1" x14ac:dyDescent="0.25">
      <c r="A94" s="75"/>
      <c r="B94" s="77"/>
      <c r="C94" s="76"/>
      <c r="D94" s="78">
        <v>24401</v>
      </c>
      <c r="E94" s="79" t="s">
        <v>344</v>
      </c>
      <c r="F94" s="186"/>
      <c r="G94" s="186"/>
      <c r="H94" s="186">
        <f t="shared" si="129"/>
        <v>0</v>
      </c>
      <c r="I94" s="186">
        <f t="shared" si="129"/>
        <v>0</v>
      </c>
      <c r="J94" s="186">
        <f t="shared" si="129"/>
        <v>0</v>
      </c>
      <c r="K94" s="283">
        <f t="shared" si="117"/>
        <v>0</v>
      </c>
      <c r="M94"/>
      <c r="N94"/>
      <c r="O94"/>
      <c r="P94"/>
      <c r="Q94"/>
    </row>
    <row r="95" spans="1:17" s="66" customFormat="1" hidden="1" x14ac:dyDescent="0.25">
      <c r="A95" s="75"/>
      <c r="B95" s="76"/>
      <c r="C95" s="106">
        <v>24500</v>
      </c>
      <c r="D95" s="179" t="s">
        <v>345</v>
      </c>
      <c r="E95" s="180"/>
      <c r="F95" s="143"/>
      <c r="G95" s="143">
        <f t="shared" ref="G95" si="134">SUM(G96)</f>
        <v>0</v>
      </c>
      <c r="H95" s="143">
        <f t="shared" ref="H95:K95" si="135">SUM(H96)</f>
        <v>0</v>
      </c>
      <c r="I95" s="143">
        <f t="shared" si="135"/>
        <v>0</v>
      </c>
      <c r="J95" s="143">
        <f t="shared" si="135"/>
        <v>0</v>
      </c>
      <c r="K95" s="285">
        <f t="shared" si="135"/>
        <v>0</v>
      </c>
      <c r="M95"/>
      <c r="N95"/>
      <c r="O95"/>
      <c r="P95"/>
      <c r="Q95"/>
    </row>
    <row r="96" spans="1:17" s="66" customFormat="1" hidden="1" x14ac:dyDescent="0.25">
      <c r="A96" s="75"/>
      <c r="B96" s="77"/>
      <c r="C96" s="76"/>
      <c r="D96" s="78">
        <v>24501</v>
      </c>
      <c r="E96" s="79" t="s">
        <v>345</v>
      </c>
      <c r="F96" s="186"/>
      <c r="G96" s="186"/>
      <c r="H96" s="186">
        <f t="shared" si="129"/>
        <v>0</v>
      </c>
      <c r="I96" s="186">
        <f t="shared" si="129"/>
        <v>0</v>
      </c>
      <c r="J96" s="186">
        <f t="shared" si="129"/>
        <v>0</v>
      </c>
      <c r="K96" s="283">
        <f t="shared" si="117"/>
        <v>0</v>
      </c>
      <c r="M96"/>
      <c r="N96"/>
      <c r="O96"/>
      <c r="P96"/>
      <c r="Q96"/>
    </row>
    <row r="97" spans="1:17" s="66" customFormat="1" x14ac:dyDescent="0.25">
      <c r="A97" s="75"/>
      <c r="B97" s="76"/>
      <c r="C97" s="106">
        <v>24600</v>
      </c>
      <c r="D97" s="179" t="s">
        <v>346</v>
      </c>
      <c r="E97" s="180"/>
      <c r="F97" s="143">
        <f t="shared" ref="F97:G97" si="136">SUM(F98)</f>
        <v>433403.52</v>
      </c>
      <c r="G97" s="143">
        <f t="shared" si="136"/>
        <v>0</v>
      </c>
      <c r="H97" s="143">
        <f t="shared" ref="H97:K97" si="137">SUM(H98)</f>
        <v>433403.52</v>
      </c>
      <c r="I97" s="143">
        <f t="shared" si="137"/>
        <v>353025.22</v>
      </c>
      <c r="J97" s="143">
        <f t="shared" si="137"/>
        <v>288687.21999999997</v>
      </c>
      <c r="K97" s="285">
        <f t="shared" si="137"/>
        <v>80378.300000000047</v>
      </c>
      <c r="M97"/>
      <c r="N97"/>
      <c r="O97"/>
      <c r="P97"/>
      <c r="Q97"/>
    </row>
    <row r="98" spans="1:17" s="66" customFormat="1" x14ac:dyDescent="0.25">
      <c r="A98" s="75"/>
      <c r="B98" s="77"/>
      <c r="C98" s="76"/>
      <c r="D98" s="78">
        <v>24601</v>
      </c>
      <c r="E98" s="79" t="s">
        <v>347</v>
      </c>
      <c r="F98" s="186">
        <v>433403.52</v>
      </c>
      <c r="G98" s="186"/>
      <c r="H98" s="186">
        <f t="shared" ref="H98" si="138">F98+G98</f>
        <v>433403.52</v>
      </c>
      <c r="I98" s="186">
        <v>353025.22</v>
      </c>
      <c r="J98" s="186">
        <f>353025.22-64338</f>
        <v>288687.21999999997</v>
      </c>
      <c r="K98" s="283">
        <f t="shared" si="117"/>
        <v>80378.300000000047</v>
      </c>
      <c r="M98"/>
      <c r="N98"/>
      <c r="O98"/>
      <c r="P98"/>
      <c r="Q98"/>
    </row>
    <row r="99" spans="1:17" s="66" customFormat="1" x14ac:dyDescent="0.25">
      <c r="A99" s="75"/>
      <c r="B99" s="76"/>
      <c r="C99" s="106">
        <v>24700</v>
      </c>
      <c r="D99" s="179" t="s">
        <v>348</v>
      </c>
      <c r="E99" s="180"/>
      <c r="F99" s="143">
        <f t="shared" ref="F99" si="139">SUM(F100)</f>
        <v>15334.13</v>
      </c>
      <c r="G99" s="143">
        <f t="shared" ref="G99" si="140">SUM(G100)</f>
        <v>-9000</v>
      </c>
      <c r="H99" s="143">
        <f t="shared" ref="H99:K99" si="141">SUM(H100)</f>
        <v>6334.1299999999992</v>
      </c>
      <c r="I99" s="143">
        <f t="shared" si="141"/>
        <v>4968.55</v>
      </c>
      <c r="J99" s="143">
        <f t="shared" si="141"/>
        <v>4624.7700000000004</v>
      </c>
      <c r="K99" s="285">
        <f t="shared" si="141"/>
        <v>1365.579999999999</v>
      </c>
      <c r="M99"/>
      <c r="N99"/>
      <c r="O99"/>
      <c r="P99"/>
      <c r="Q99"/>
    </row>
    <row r="100" spans="1:17" s="66" customFormat="1" x14ac:dyDescent="0.25">
      <c r="A100" s="75"/>
      <c r="B100" s="77"/>
      <c r="C100" s="76"/>
      <c r="D100" s="78">
        <v>24701</v>
      </c>
      <c r="E100" s="79" t="s">
        <v>348</v>
      </c>
      <c r="F100" s="186">
        <v>15334.13</v>
      </c>
      <c r="G100" s="186">
        <v>-9000</v>
      </c>
      <c r="H100" s="186">
        <f t="shared" ref="H100" si="142">F100+G100</f>
        <v>6334.1299999999992</v>
      </c>
      <c r="I100" s="186">
        <v>4968.55</v>
      </c>
      <c r="J100" s="186">
        <f>4968.55-343.78</f>
        <v>4624.7700000000004</v>
      </c>
      <c r="K100" s="283">
        <f t="shared" si="117"/>
        <v>1365.579999999999</v>
      </c>
      <c r="M100"/>
      <c r="N100"/>
      <c r="O100"/>
      <c r="P100"/>
      <c r="Q100"/>
    </row>
    <row r="101" spans="1:17" s="66" customFormat="1" x14ac:dyDescent="0.25">
      <c r="A101" s="75"/>
      <c r="B101" s="76"/>
      <c r="C101" s="106">
        <v>24800</v>
      </c>
      <c r="D101" s="179" t="s">
        <v>349</v>
      </c>
      <c r="E101" s="180"/>
      <c r="F101" s="143">
        <f t="shared" ref="F101:G101" si="143">SUM(F102)</f>
        <v>25556.880000000001</v>
      </c>
      <c r="G101" s="143">
        <f t="shared" si="143"/>
        <v>-12500</v>
      </c>
      <c r="H101" s="143">
        <f t="shared" ref="H101:K101" si="144">SUM(H102)</f>
        <v>13056.880000000001</v>
      </c>
      <c r="I101" s="143">
        <f t="shared" si="144"/>
        <v>11340</v>
      </c>
      <c r="J101" s="143">
        <f t="shared" si="144"/>
        <v>0</v>
      </c>
      <c r="K101" s="285">
        <f t="shared" si="144"/>
        <v>1716.880000000001</v>
      </c>
      <c r="M101"/>
      <c r="N101"/>
      <c r="O101"/>
      <c r="P101"/>
      <c r="Q101"/>
    </row>
    <row r="102" spans="1:17" s="66" customFormat="1" x14ac:dyDescent="0.25">
      <c r="A102" s="75"/>
      <c r="B102" s="77"/>
      <c r="C102" s="76"/>
      <c r="D102" s="78">
        <v>24801</v>
      </c>
      <c r="E102" s="79" t="s">
        <v>349</v>
      </c>
      <c r="F102" s="186">
        <v>25556.880000000001</v>
      </c>
      <c r="G102" s="186">
        <v>-12500</v>
      </c>
      <c r="H102" s="186">
        <f t="shared" ref="H102" si="145">F102+G102</f>
        <v>13056.880000000001</v>
      </c>
      <c r="I102" s="186">
        <v>11340</v>
      </c>
      <c r="J102" s="186">
        <f>11340-11340</f>
        <v>0</v>
      </c>
      <c r="K102" s="283">
        <f t="shared" si="117"/>
        <v>1716.880000000001</v>
      </c>
      <c r="M102"/>
      <c r="N102"/>
      <c r="O102"/>
      <c r="P102"/>
      <c r="Q102"/>
    </row>
    <row r="103" spans="1:17" s="66" customFormat="1" x14ac:dyDescent="0.25">
      <c r="A103" s="75"/>
      <c r="B103" s="76"/>
      <c r="C103" s="106">
        <v>24900</v>
      </c>
      <c r="D103" s="179" t="s">
        <v>350</v>
      </c>
      <c r="E103" s="180"/>
      <c r="F103" s="143">
        <f t="shared" ref="F103:G103" si="146">SUM(F104)</f>
        <v>388388.31</v>
      </c>
      <c r="G103" s="143">
        <f t="shared" si="146"/>
        <v>-20000</v>
      </c>
      <c r="H103" s="143">
        <f t="shared" ref="H103:K103" si="147">SUM(H104)</f>
        <v>368388.31</v>
      </c>
      <c r="I103" s="143">
        <f t="shared" si="147"/>
        <v>304392.34000000003</v>
      </c>
      <c r="J103" s="143">
        <f t="shared" si="147"/>
        <v>204285.04000000004</v>
      </c>
      <c r="K103" s="285">
        <f t="shared" si="147"/>
        <v>63995.969999999972</v>
      </c>
      <c r="M103"/>
      <c r="N103"/>
      <c r="O103"/>
      <c r="P103"/>
      <c r="Q103"/>
    </row>
    <row r="104" spans="1:17" s="66" customFormat="1" ht="30" x14ac:dyDescent="0.25">
      <c r="A104" s="75"/>
      <c r="B104" s="77"/>
      <c r="C104" s="76"/>
      <c r="D104" s="78">
        <v>24901</v>
      </c>
      <c r="E104" s="79" t="s">
        <v>350</v>
      </c>
      <c r="F104" s="186">
        <v>388388.31</v>
      </c>
      <c r="G104" s="186">
        <v>-20000</v>
      </c>
      <c r="H104" s="186">
        <f t="shared" ref="H104" si="148">F104+G104</f>
        <v>368388.31</v>
      </c>
      <c r="I104" s="186">
        <v>304392.34000000003</v>
      </c>
      <c r="J104" s="186">
        <f>304392.34-100107.3</f>
        <v>204285.04000000004</v>
      </c>
      <c r="K104" s="283">
        <f t="shared" si="117"/>
        <v>63995.969999999972</v>
      </c>
      <c r="M104"/>
      <c r="N104"/>
      <c r="O104"/>
      <c r="P104"/>
      <c r="Q104"/>
    </row>
    <row r="105" spans="1:17" s="66" customFormat="1" x14ac:dyDescent="0.25">
      <c r="A105" s="75"/>
      <c r="B105" s="181">
        <v>25000</v>
      </c>
      <c r="C105" s="182" t="s">
        <v>351</v>
      </c>
      <c r="D105" s="183"/>
      <c r="E105" s="184"/>
      <c r="F105" s="142">
        <f t="shared" ref="F105:G105" si="149">SUM(F106,F108,F110)</f>
        <v>235277.77000000002</v>
      </c>
      <c r="G105" s="142">
        <f t="shared" si="149"/>
        <v>45000</v>
      </c>
      <c r="H105" s="142">
        <f t="shared" ref="H105:K105" si="150">SUM(H106,H108,H110)</f>
        <v>280277.77</v>
      </c>
      <c r="I105" s="142">
        <f t="shared" ref="I105:J105" si="151">SUM(I106,I108,I110)</f>
        <v>169960.78000000003</v>
      </c>
      <c r="J105" s="142">
        <f t="shared" si="151"/>
        <v>169960.78000000003</v>
      </c>
      <c r="K105" s="284">
        <f t="shared" si="150"/>
        <v>110316.98999999999</v>
      </c>
      <c r="M105"/>
      <c r="N105"/>
      <c r="O105"/>
      <c r="P105"/>
      <c r="Q105"/>
    </row>
    <row r="106" spans="1:17" s="66" customFormat="1" x14ac:dyDescent="0.25">
      <c r="A106" s="75"/>
      <c r="B106" s="76"/>
      <c r="C106" s="106">
        <v>25300</v>
      </c>
      <c r="D106" s="179" t="s">
        <v>352</v>
      </c>
      <c r="E106" s="180"/>
      <c r="F106" s="143">
        <f t="shared" ref="F106:G106" si="152">SUM(F107)</f>
        <v>102150.25</v>
      </c>
      <c r="G106" s="143">
        <f t="shared" si="152"/>
        <v>0</v>
      </c>
      <c r="H106" s="143">
        <f t="shared" ref="H106:K106" si="153">SUM(H107)</f>
        <v>102150.25</v>
      </c>
      <c r="I106" s="143">
        <f t="shared" si="153"/>
        <v>50187.6</v>
      </c>
      <c r="J106" s="143">
        <f t="shared" si="153"/>
        <v>50187.6</v>
      </c>
      <c r="K106" s="285">
        <f t="shared" si="153"/>
        <v>51962.65</v>
      </c>
      <c r="M106"/>
      <c r="N106"/>
      <c r="O106"/>
      <c r="P106"/>
      <c r="Q106"/>
    </row>
    <row r="107" spans="1:17" s="66" customFormat="1" x14ac:dyDescent="0.25">
      <c r="A107" s="75"/>
      <c r="B107" s="77"/>
      <c r="C107" s="76"/>
      <c r="D107" s="78">
        <v>25301</v>
      </c>
      <c r="E107" s="79" t="s">
        <v>352</v>
      </c>
      <c r="F107" s="186">
        <v>102150.25</v>
      </c>
      <c r="G107" s="186"/>
      <c r="H107" s="186">
        <f t="shared" ref="H107" si="154">F107+G107</f>
        <v>102150.25</v>
      </c>
      <c r="I107" s="186">
        <v>50187.6</v>
      </c>
      <c r="J107" s="186">
        <v>50187.6</v>
      </c>
      <c r="K107" s="283">
        <f t="shared" si="117"/>
        <v>51962.65</v>
      </c>
      <c r="M107"/>
      <c r="N107"/>
      <c r="O107"/>
      <c r="P107"/>
      <c r="Q107"/>
    </row>
    <row r="108" spans="1:17" s="66" customFormat="1" x14ac:dyDescent="0.25">
      <c r="A108" s="75"/>
      <c r="B108" s="76"/>
      <c r="C108" s="106">
        <v>25400</v>
      </c>
      <c r="D108" s="179" t="s">
        <v>353</v>
      </c>
      <c r="E108" s="180"/>
      <c r="F108" s="143">
        <f t="shared" ref="F108:G108" si="155">SUM(F109)</f>
        <v>112604.76</v>
      </c>
      <c r="G108" s="143">
        <f t="shared" si="155"/>
        <v>35000</v>
      </c>
      <c r="H108" s="143">
        <f t="shared" ref="H108:K108" si="156">SUM(H109)</f>
        <v>147604.76</v>
      </c>
      <c r="I108" s="143">
        <f t="shared" si="156"/>
        <v>101489.82</v>
      </c>
      <c r="J108" s="143">
        <f t="shared" si="156"/>
        <v>101489.82</v>
      </c>
      <c r="K108" s="285">
        <f t="shared" si="156"/>
        <v>46114.94</v>
      </c>
      <c r="M108"/>
      <c r="N108"/>
      <c r="O108"/>
      <c r="P108"/>
      <c r="Q108"/>
    </row>
    <row r="109" spans="1:17" s="66" customFormat="1" ht="30" x14ac:dyDescent="0.25">
      <c r="A109" s="75"/>
      <c r="B109" s="77"/>
      <c r="C109" s="76"/>
      <c r="D109" s="78">
        <v>25401</v>
      </c>
      <c r="E109" s="79" t="s">
        <v>353</v>
      </c>
      <c r="F109" s="186">
        <v>112604.76</v>
      </c>
      <c r="G109" s="186">
        <v>35000</v>
      </c>
      <c r="H109" s="186">
        <f t="shared" ref="H109" si="157">F109+G109</f>
        <v>147604.76</v>
      </c>
      <c r="I109" s="186">
        <v>101489.82</v>
      </c>
      <c r="J109" s="186">
        <v>101489.82</v>
      </c>
      <c r="K109" s="283">
        <f t="shared" si="117"/>
        <v>46114.94</v>
      </c>
      <c r="M109"/>
      <c r="N109"/>
      <c r="O109"/>
      <c r="P109"/>
      <c r="Q109"/>
    </row>
    <row r="110" spans="1:17" s="66" customFormat="1" x14ac:dyDescent="0.25">
      <c r="A110" s="75"/>
      <c r="B110" s="76"/>
      <c r="C110" s="106">
        <v>25500</v>
      </c>
      <c r="D110" s="179" t="s">
        <v>354</v>
      </c>
      <c r="E110" s="180"/>
      <c r="F110" s="143">
        <f t="shared" ref="F110:G110" si="158">SUM(F111)</f>
        <v>20522.759999999998</v>
      </c>
      <c r="G110" s="143">
        <f t="shared" si="158"/>
        <v>10000</v>
      </c>
      <c r="H110" s="143">
        <f t="shared" ref="H110:K110" si="159">SUM(H111)</f>
        <v>30522.76</v>
      </c>
      <c r="I110" s="143">
        <f t="shared" si="159"/>
        <v>18283.36</v>
      </c>
      <c r="J110" s="143">
        <f t="shared" si="159"/>
        <v>18283.36</v>
      </c>
      <c r="K110" s="285">
        <f t="shared" si="159"/>
        <v>12239.399999999998</v>
      </c>
      <c r="M110"/>
      <c r="N110"/>
      <c r="O110"/>
      <c r="P110"/>
      <c r="Q110"/>
    </row>
    <row r="111" spans="1:17" s="66" customFormat="1" ht="30" x14ac:dyDescent="0.25">
      <c r="A111" s="75"/>
      <c r="B111" s="77"/>
      <c r="C111" s="76"/>
      <c r="D111" s="78">
        <v>25501</v>
      </c>
      <c r="E111" s="79" t="s">
        <v>354</v>
      </c>
      <c r="F111" s="186">
        <v>20522.759999999998</v>
      </c>
      <c r="G111" s="186">
        <v>10000</v>
      </c>
      <c r="H111" s="186">
        <f t="shared" ref="H111" si="160">F111+G111</f>
        <v>30522.76</v>
      </c>
      <c r="I111" s="186">
        <v>18283.36</v>
      </c>
      <c r="J111" s="186">
        <v>18283.36</v>
      </c>
      <c r="K111" s="283">
        <f t="shared" si="117"/>
        <v>12239.399999999998</v>
      </c>
      <c r="M111"/>
      <c r="N111"/>
      <c r="O111"/>
      <c r="P111"/>
      <c r="Q111"/>
    </row>
    <row r="112" spans="1:17" s="66" customFormat="1" x14ac:dyDescent="0.25">
      <c r="A112" s="75"/>
      <c r="B112" s="181">
        <v>26000</v>
      </c>
      <c r="C112" s="182" t="s">
        <v>355</v>
      </c>
      <c r="D112" s="183"/>
      <c r="E112" s="184"/>
      <c r="F112" s="142">
        <f t="shared" ref="F112:G112" si="161">SUM(F113)</f>
        <v>4624791.2750000004</v>
      </c>
      <c r="G112" s="142">
        <f t="shared" si="161"/>
        <v>2360000</v>
      </c>
      <c r="H112" s="142">
        <f t="shared" ref="H112:K112" si="162">SUM(H113)</f>
        <v>6984791.2750000004</v>
      </c>
      <c r="I112" s="142">
        <f t="shared" si="162"/>
        <v>6869913.8300000001</v>
      </c>
      <c r="J112" s="142">
        <f t="shared" si="162"/>
        <v>6611260.9500000002</v>
      </c>
      <c r="K112" s="284">
        <f t="shared" si="162"/>
        <v>114877.44500000097</v>
      </c>
      <c r="M112"/>
      <c r="N112"/>
      <c r="O112"/>
      <c r="P112"/>
      <c r="Q112"/>
    </row>
    <row r="113" spans="1:17" s="66" customFormat="1" x14ac:dyDescent="0.25">
      <c r="A113" s="75"/>
      <c r="B113" s="76"/>
      <c r="C113" s="106">
        <v>26100</v>
      </c>
      <c r="D113" s="179" t="s">
        <v>355</v>
      </c>
      <c r="E113" s="180"/>
      <c r="F113" s="143">
        <f t="shared" ref="F113:G113" si="163">SUM(F114:F115)</f>
        <v>4624791.2750000004</v>
      </c>
      <c r="G113" s="143">
        <f t="shared" si="163"/>
        <v>2360000</v>
      </c>
      <c r="H113" s="143">
        <f t="shared" ref="H113:K113" si="164">SUM(H114:H115)</f>
        <v>6984791.2750000004</v>
      </c>
      <c r="I113" s="143">
        <f t="shared" ref="I113:J113" si="165">SUM(I114:I115)</f>
        <v>6869913.8300000001</v>
      </c>
      <c r="J113" s="143">
        <f t="shared" si="165"/>
        <v>6611260.9500000002</v>
      </c>
      <c r="K113" s="285">
        <f t="shared" si="164"/>
        <v>114877.44500000097</v>
      </c>
      <c r="M113"/>
      <c r="N113"/>
      <c r="O113"/>
      <c r="P113"/>
      <c r="Q113"/>
    </row>
    <row r="114" spans="1:17" s="66" customFormat="1" x14ac:dyDescent="0.25">
      <c r="A114" s="75"/>
      <c r="B114" s="77"/>
      <c r="C114" s="76"/>
      <c r="D114" s="78">
        <v>26101</v>
      </c>
      <c r="E114" s="79" t="s">
        <v>356</v>
      </c>
      <c r="F114" s="186">
        <f>6960595.325-3731747.81+1375421</f>
        <v>4604268.5150000006</v>
      </c>
      <c r="G114" s="186">
        <v>2360000</v>
      </c>
      <c r="H114" s="186">
        <f t="shared" ref="H114:H115" si="166">F114+G114</f>
        <v>6964268.5150000006</v>
      </c>
      <c r="I114" s="186">
        <v>6849502.5999999996</v>
      </c>
      <c r="J114" s="186">
        <f>6849502.6-249580.88</f>
        <v>6599921.7199999997</v>
      </c>
      <c r="K114" s="283">
        <f t="shared" si="117"/>
        <v>114765.91500000097</v>
      </c>
      <c r="M114"/>
      <c r="N114"/>
      <c r="O114"/>
      <c r="P114"/>
      <c r="Q114"/>
    </row>
    <row r="115" spans="1:17" s="66" customFormat="1" x14ac:dyDescent="0.25">
      <c r="A115" s="75"/>
      <c r="B115" s="77"/>
      <c r="C115" s="76"/>
      <c r="D115" s="78">
        <v>26102</v>
      </c>
      <c r="E115" s="79" t="s">
        <v>357</v>
      </c>
      <c r="F115" s="186">
        <v>20522.759999999998</v>
      </c>
      <c r="G115" s="186"/>
      <c r="H115" s="186">
        <f t="shared" si="166"/>
        <v>20522.759999999998</v>
      </c>
      <c r="I115" s="186">
        <v>20411.23</v>
      </c>
      <c r="J115" s="186">
        <f>20411.23-9072</f>
        <v>11339.23</v>
      </c>
      <c r="K115" s="283">
        <f t="shared" si="117"/>
        <v>111.52999999999884</v>
      </c>
      <c r="M115"/>
      <c r="N115"/>
      <c r="O115"/>
      <c r="P115"/>
      <c r="Q115"/>
    </row>
    <row r="116" spans="1:17" s="66" customFormat="1" x14ac:dyDescent="0.25">
      <c r="A116" s="75"/>
      <c r="B116" s="181">
        <v>27000</v>
      </c>
      <c r="C116" s="182" t="s">
        <v>358</v>
      </c>
      <c r="D116" s="183"/>
      <c r="E116" s="184"/>
      <c r="F116" s="142">
        <f>SUM(F117)</f>
        <v>264748.34999999998</v>
      </c>
      <c r="G116" s="142">
        <f t="shared" ref="G116" si="167">SUM(G117,G120)</f>
        <v>-12000</v>
      </c>
      <c r="H116" s="142">
        <f t="shared" ref="H116:K116" si="168">SUM(H117,H120)</f>
        <v>252748.35</v>
      </c>
      <c r="I116" s="142">
        <f t="shared" ref="I116:J116" si="169">SUM(I117,I120)</f>
        <v>240069.96000000002</v>
      </c>
      <c r="J116" s="142">
        <f t="shared" si="169"/>
        <v>240069.96000000002</v>
      </c>
      <c r="K116" s="284">
        <f t="shared" si="168"/>
        <v>12678.39</v>
      </c>
      <c r="M116"/>
      <c r="N116"/>
      <c r="O116"/>
      <c r="P116"/>
      <c r="Q116"/>
    </row>
    <row r="117" spans="1:17" s="66" customFormat="1" x14ac:dyDescent="0.25">
      <c r="A117" s="75"/>
      <c r="B117" s="76"/>
      <c r="C117" s="106">
        <v>27100</v>
      </c>
      <c r="D117" s="179" t="s">
        <v>359</v>
      </c>
      <c r="E117" s="180"/>
      <c r="F117" s="143">
        <f t="shared" ref="F117" si="170">SUM(F118:F119)</f>
        <v>264748.34999999998</v>
      </c>
      <c r="G117" s="143">
        <f t="shared" ref="G117" si="171">SUM(G118:G119)</f>
        <v>-12000</v>
      </c>
      <c r="H117" s="143">
        <f t="shared" ref="H117:K117" si="172">SUM(H118:H119)</f>
        <v>252748.35</v>
      </c>
      <c r="I117" s="143">
        <f t="shared" ref="I117:J117" si="173">SUM(I118:I119)</f>
        <v>240069.96000000002</v>
      </c>
      <c r="J117" s="143">
        <f t="shared" si="173"/>
        <v>240069.96000000002</v>
      </c>
      <c r="K117" s="285">
        <f t="shared" si="172"/>
        <v>12678.39</v>
      </c>
      <c r="M117"/>
      <c r="N117"/>
      <c r="O117"/>
      <c r="P117"/>
      <c r="Q117"/>
    </row>
    <row r="118" spans="1:17" s="66" customFormat="1" x14ac:dyDescent="0.25">
      <c r="A118" s="75"/>
      <c r="B118" s="77"/>
      <c r="C118" s="76"/>
      <c r="D118" s="78">
        <v>27101</v>
      </c>
      <c r="E118" s="79" t="s">
        <v>359</v>
      </c>
      <c r="F118" s="186">
        <v>234234.6</v>
      </c>
      <c r="G118" s="186"/>
      <c r="H118" s="186">
        <f t="shared" ref="H118:H119" si="174">F118+G118</f>
        <v>234234.6</v>
      </c>
      <c r="I118" s="186">
        <v>234121.32</v>
      </c>
      <c r="J118" s="186">
        <v>234121.32</v>
      </c>
      <c r="K118" s="283">
        <f t="shared" si="117"/>
        <v>113.27999999999884</v>
      </c>
      <c r="M118"/>
      <c r="N118"/>
      <c r="O118"/>
      <c r="P118"/>
      <c r="Q118"/>
    </row>
    <row r="119" spans="1:17" s="66" customFormat="1" ht="30" x14ac:dyDescent="0.25">
      <c r="A119" s="75"/>
      <c r="B119" s="77"/>
      <c r="C119" s="76"/>
      <c r="D119" s="78">
        <v>27102</v>
      </c>
      <c r="E119" s="84" t="s">
        <v>564</v>
      </c>
      <c r="F119" s="186">
        <v>30513.75</v>
      </c>
      <c r="G119" s="186">
        <v>-12000</v>
      </c>
      <c r="H119" s="186">
        <f t="shared" si="174"/>
        <v>18513.75</v>
      </c>
      <c r="I119" s="186">
        <v>5948.64</v>
      </c>
      <c r="J119" s="186">
        <v>5948.64</v>
      </c>
      <c r="K119" s="283">
        <f t="shared" si="117"/>
        <v>12565.11</v>
      </c>
      <c r="M119"/>
      <c r="N119"/>
      <c r="O119"/>
      <c r="P119"/>
      <c r="Q119"/>
    </row>
    <row r="120" spans="1:17" s="66" customFormat="1" hidden="1" x14ac:dyDescent="0.25">
      <c r="A120" s="75"/>
      <c r="B120" s="76"/>
      <c r="C120" s="106">
        <v>27300</v>
      </c>
      <c r="D120" s="179" t="s">
        <v>360</v>
      </c>
      <c r="E120" s="180"/>
      <c r="F120" s="143"/>
      <c r="G120" s="143">
        <f t="shared" ref="G120" si="175">SUM(G121)</f>
        <v>0</v>
      </c>
      <c r="H120" s="143">
        <f t="shared" ref="H120:K120" si="176">SUM(H121)</f>
        <v>0</v>
      </c>
      <c r="I120" s="143"/>
      <c r="J120" s="143"/>
      <c r="K120" s="285">
        <f t="shared" si="176"/>
        <v>0</v>
      </c>
      <c r="M120"/>
      <c r="N120"/>
      <c r="O120"/>
      <c r="P120"/>
      <c r="Q120"/>
    </row>
    <row r="121" spans="1:17" s="66" customFormat="1" hidden="1" x14ac:dyDescent="0.25">
      <c r="A121" s="75"/>
      <c r="B121" s="77"/>
      <c r="C121" s="76"/>
      <c r="D121" s="78">
        <v>27301</v>
      </c>
      <c r="E121" s="79" t="s">
        <v>360</v>
      </c>
      <c r="F121" s="186"/>
      <c r="G121" s="186"/>
      <c r="H121" s="186">
        <f t="shared" ref="H121" si="177">F121+G121</f>
        <v>0</v>
      </c>
      <c r="I121" s="186">
        <v>0</v>
      </c>
      <c r="J121" s="186">
        <v>0</v>
      </c>
      <c r="K121" s="283">
        <f t="shared" si="117"/>
        <v>0</v>
      </c>
      <c r="M121"/>
      <c r="N121"/>
      <c r="O121"/>
      <c r="P121"/>
      <c r="Q121"/>
    </row>
    <row r="122" spans="1:17" s="66" customFormat="1" x14ac:dyDescent="0.25">
      <c r="A122" s="75"/>
      <c r="B122" s="181">
        <v>29000</v>
      </c>
      <c r="C122" s="182" t="s">
        <v>361</v>
      </c>
      <c r="D122" s="183"/>
      <c r="E122" s="184"/>
      <c r="F122" s="142">
        <f t="shared" ref="F122:G122" si="178">SUM(F123,F125,F127,F130,F132,F134)</f>
        <v>1203566.3399999999</v>
      </c>
      <c r="G122" s="142">
        <f t="shared" si="178"/>
        <v>-13300</v>
      </c>
      <c r="H122" s="142">
        <f t="shared" ref="H122:K122" si="179">SUM(H123,H125,H127,H130,H132,H134)</f>
        <v>1190266.3400000001</v>
      </c>
      <c r="I122" s="142">
        <f t="shared" ref="I122:J122" si="180">SUM(I123,I125,I127,I130,I132,I134)</f>
        <v>928097.52</v>
      </c>
      <c r="J122" s="142">
        <f t="shared" si="180"/>
        <v>807033.41999999993</v>
      </c>
      <c r="K122" s="284">
        <f t="shared" si="179"/>
        <v>262168.82000000007</v>
      </c>
      <c r="M122"/>
      <c r="N122"/>
      <c r="O122"/>
      <c r="P122"/>
      <c r="Q122"/>
    </row>
    <row r="123" spans="1:17" s="66" customFormat="1" x14ac:dyDescent="0.25">
      <c r="A123" s="75"/>
      <c r="B123" s="76"/>
      <c r="C123" s="106">
        <v>29100</v>
      </c>
      <c r="D123" s="179" t="s">
        <v>362</v>
      </c>
      <c r="E123" s="180"/>
      <c r="F123" s="143">
        <f t="shared" ref="F123:G123" si="181">SUM(F124)</f>
        <v>28623.72</v>
      </c>
      <c r="G123" s="143">
        <f t="shared" si="181"/>
        <v>24000</v>
      </c>
      <c r="H123" s="143">
        <f t="shared" ref="H123:K123" si="182">SUM(H124)</f>
        <v>52623.72</v>
      </c>
      <c r="I123" s="143">
        <f t="shared" si="182"/>
        <v>44273.37</v>
      </c>
      <c r="J123" s="143">
        <f t="shared" si="182"/>
        <v>30938.390000000003</v>
      </c>
      <c r="K123" s="285">
        <f t="shared" si="182"/>
        <v>8350.3499999999985</v>
      </c>
      <c r="M123"/>
      <c r="N123"/>
      <c r="O123"/>
      <c r="P123"/>
      <c r="Q123"/>
    </row>
    <row r="124" spans="1:17" s="66" customFormat="1" x14ac:dyDescent="0.25">
      <c r="A124" s="75"/>
      <c r="B124" s="77"/>
      <c r="C124" s="76"/>
      <c r="D124" s="78">
        <v>29101</v>
      </c>
      <c r="E124" s="79" t="s">
        <v>363</v>
      </c>
      <c r="F124" s="186">
        <v>28623.72</v>
      </c>
      <c r="G124" s="186">
        <v>24000</v>
      </c>
      <c r="H124" s="186">
        <f t="shared" ref="H124" si="183">F124+G124</f>
        <v>52623.72</v>
      </c>
      <c r="I124" s="186">
        <v>44273.37</v>
      </c>
      <c r="J124" s="186">
        <f>44273.37-13334.98</f>
        <v>30938.390000000003</v>
      </c>
      <c r="K124" s="283">
        <f t="shared" si="117"/>
        <v>8350.3499999999985</v>
      </c>
      <c r="M124"/>
      <c r="N124"/>
      <c r="O124"/>
      <c r="P124"/>
      <c r="Q124"/>
    </row>
    <row r="125" spans="1:17" s="66" customFormat="1" x14ac:dyDescent="0.25">
      <c r="A125" s="75"/>
      <c r="B125" s="76"/>
      <c r="C125" s="106">
        <v>29200</v>
      </c>
      <c r="D125" s="179" t="s">
        <v>364</v>
      </c>
      <c r="E125" s="180"/>
      <c r="F125" s="143">
        <f t="shared" ref="F125" si="184">SUM(F126)</f>
        <v>97116.12</v>
      </c>
      <c r="G125" s="143">
        <f t="shared" ref="G125" si="185">SUM(G126)</f>
        <v>-5000</v>
      </c>
      <c r="H125" s="143">
        <f t="shared" ref="H125:K125" si="186">SUM(H126)</f>
        <v>92116.12</v>
      </c>
      <c r="I125" s="143">
        <f t="shared" si="186"/>
        <v>44624.9</v>
      </c>
      <c r="J125" s="143">
        <f t="shared" si="186"/>
        <v>39464.39</v>
      </c>
      <c r="K125" s="285">
        <f t="shared" si="186"/>
        <v>47491.219999999994</v>
      </c>
      <c r="M125"/>
      <c r="N125"/>
      <c r="O125"/>
      <c r="P125"/>
      <c r="Q125"/>
    </row>
    <row r="126" spans="1:17" s="66" customFormat="1" ht="30" x14ac:dyDescent="0.25">
      <c r="A126" s="75"/>
      <c r="B126" s="77"/>
      <c r="C126" s="76"/>
      <c r="D126" s="78">
        <v>29201</v>
      </c>
      <c r="E126" s="79" t="s">
        <v>364</v>
      </c>
      <c r="F126" s="186">
        <v>97116.12</v>
      </c>
      <c r="G126" s="186">
        <v>-5000</v>
      </c>
      <c r="H126" s="186">
        <f t="shared" si="129"/>
        <v>92116.12</v>
      </c>
      <c r="I126" s="186">
        <v>44624.9</v>
      </c>
      <c r="J126" s="186">
        <f>44624.9-5160.51</f>
        <v>39464.39</v>
      </c>
      <c r="K126" s="283">
        <f t="shared" si="117"/>
        <v>47491.219999999994</v>
      </c>
      <c r="M126"/>
      <c r="N126"/>
      <c r="O126"/>
      <c r="P126"/>
      <c r="Q126"/>
    </row>
    <row r="127" spans="1:17" s="66" customFormat="1" x14ac:dyDescent="0.25">
      <c r="A127" s="75"/>
      <c r="B127" s="76"/>
      <c r="C127" s="106">
        <v>29300</v>
      </c>
      <c r="D127" s="179" t="s">
        <v>365</v>
      </c>
      <c r="E127" s="180"/>
      <c r="F127" s="143">
        <f t="shared" ref="F127" si="187">SUM(F128:F129)</f>
        <v>61336.56</v>
      </c>
      <c r="G127" s="143">
        <f t="shared" ref="G127" si="188">SUM(G128:G129)</f>
        <v>-20000</v>
      </c>
      <c r="H127" s="143">
        <f t="shared" ref="H127:K127" si="189">SUM(H128:H129)</f>
        <v>41336.559999999998</v>
      </c>
      <c r="I127" s="143">
        <f t="shared" si="189"/>
        <v>17008.28</v>
      </c>
      <c r="J127" s="143">
        <f t="shared" ref="J127" si="190">SUM(J128:J129)</f>
        <v>17008.28</v>
      </c>
      <c r="K127" s="285">
        <f t="shared" si="189"/>
        <v>24328.28</v>
      </c>
      <c r="M127"/>
      <c r="N127"/>
      <c r="O127"/>
      <c r="P127"/>
      <c r="Q127"/>
    </row>
    <row r="128" spans="1:17" s="66" customFormat="1" ht="30" x14ac:dyDescent="0.25">
      <c r="A128" s="75"/>
      <c r="B128" s="77"/>
      <c r="C128" s="76"/>
      <c r="D128" s="78">
        <v>29301</v>
      </c>
      <c r="E128" s="79" t="s">
        <v>366</v>
      </c>
      <c r="F128" s="186">
        <v>10222.799999999999</v>
      </c>
      <c r="G128" s="186"/>
      <c r="H128" s="186">
        <f t="shared" si="129"/>
        <v>10222.799999999999</v>
      </c>
      <c r="I128" s="186">
        <v>4707.08</v>
      </c>
      <c r="J128" s="186">
        <v>4707.08</v>
      </c>
      <c r="K128" s="283">
        <f t="shared" si="117"/>
        <v>5515.7199999999993</v>
      </c>
      <c r="M128"/>
      <c r="N128"/>
      <c r="O128"/>
      <c r="P128"/>
      <c r="Q128"/>
    </row>
    <row r="129" spans="1:17" s="66" customFormat="1" ht="30" x14ac:dyDescent="0.25">
      <c r="A129" s="75"/>
      <c r="B129" s="77"/>
      <c r="C129" s="76"/>
      <c r="D129" s="78">
        <v>29302</v>
      </c>
      <c r="E129" s="79" t="s">
        <v>367</v>
      </c>
      <c r="F129" s="186">
        <v>51113.760000000002</v>
      </c>
      <c r="G129" s="186">
        <v>-20000</v>
      </c>
      <c r="H129" s="186">
        <f t="shared" si="129"/>
        <v>31113.760000000002</v>
      </c>
      <c r="I129" s="186">
        <v>12301.2</v>
      </c>
      <c r="J129" s="186">
        <v>12301.2</v>
      </c>
      <c r="K129" s="283">
        <f t="shared" si="117"/>
        <v>18812.560000000001</v>
      </c>
      <c r="M129"/>
      <c r="N129"/>
      <c r="O129"/>
      <c r="P129"/>
      <c r="Q129"/>
    </row>
    <row r="130" spans="1:17" s="66" customFormat="1" x14ac:dyDescent="0.25">
      <c r="A130" s="75"/>
      <c r="B130" s="76"/>
      <c r="C130" s="106">
        <v>29400</v>
      </c>
      <c r="D130" s="179" t="s">
        <v>368</v>
      </c>
      <c r="E130" s="180"/>
      <c r="F130" s="143">
        <f t="shared" ref="F130" si="191">SUM(F131)</f>
        <v>471750.3</v>
      </c>
      <c r="G130" s="143">
        <f t="shared" ref="G130" si="192">SUM(G131)</f>
        <v>81700</v>
      </c>
      <c r="H130" s="143">
        <f t="shared" ref="H130:K130" si="193">SUM(H131)</f>
        <v>553450.30000000005</v>
      </c>
      <c r="I130" s="143">
        <f t="shared" si="193"/>
        <v>523892.11</v>
      </c>
      <c r="J130" s="143">
        <f t="shared" si="193"/>
        <v>445189.05</v>
      </c>
      <c r="K130" s="285">
        <f t="shared" si="193"/>
        <v>29558.190000000061</v>
      </c>
      <c r="M130"/>
      <c r="N130"/>
      <c r="O130"/>
      <c r="P130"/>
      <c r="Q130"/>
    </row>
    <row r="131" spans="1:17" s="66" customFormat="1" ht="45" x14ac:dyDescent="0.25">
      <c r="A131" s="75"/>
      <c r="B131" s="77"/>
      <c r="C131" s="76"/>
      <c r="D131" s="78">
        <v>29401</v>
      </c>
      <c r="E131" s="79" t="s">
        <v>368</v>
      </c>
      <c r="F131" s="186">
        <v>471750.3</v>
      </c>
      <c r="G131" s="186">
        <v>81700</v>
      </c>
      <c r="H131" s="186">
        <f t="shared" si="129"/>
        <v>553450.30000000005</v>
      </c>
      <c r="I131" s="186">
        <v>523892.11</v>
      </c>
      <c r="J131" s="186">
        <f>523892.11-178703.06+100000</f>
        <v>445189.05</v>
      </c>
      <c r="K131" s="283">
        <f t="shared" si="117"/>
        <v>29558.190000000061</v>
      </c>
      <c r="M131"/>
      <c r="N131"/>
      <c r="O131"/>
      <c r="P131"/>
      <c r="Q131"/>
    </row>
    <row r="132" spans="1:17" s="66" customFormat="1" x14ac:dyDescent="0.25">
      <c r="A132" s="75"/>
      <c r="B132" s="76"/>
      <c r="C132" s="106">
        <v>29600</v>
      </c>
      <c r="D132" s="179" t="s">
        <v>369</v>
      </c>
      <c r="E132" s="180"/>
      <c r="F132" s="143">
        <f t="shared" ref="F132" si="194">SUM(F133)</f>
        <v>158838.84</v>
      </c>
      <c r="G132" s="143">
        <f t="shared" ref="G132" si="195">SUM(G133)</f>
        <v>0</v>
      </c>
      <c r="H132" s="143">
        <f t="shared" ref="H132:K132" si="196">SUM(H133)</f>
        <v>158838.84</v>
      </c>
      <c r="I132" s="143">
        <f t="shared" si="196"/>
        <v>158646.57999999999</v>
      </c>
      <c r="J132" s="143">
        <f t="shared" si="196"/>
        <v>134862.53999999998</v>
      </c>
      <c r="K132" s="285">
        <f t="shared" si="196"/>
        <v>192.26000000000931</v>
      </c>
      <c r="M132"/>
      <c r="N132"/>
      <c r="O132"/>
      <c r="P132"/>
      <c r="Q132"/>
    </row>
    <row r="133" spans="1:17" s="66" customFormat="1" ht="30" x14ac:dyDescent="0.25">
      <c r="A133" s="75"/>
      <c r="B133" s="77"/>
      <c r="C133" s="76"/>
      <c r="D133" s="78">
        <v>29601</v>
      </c>
      <c r="E133" s="79" t="s">
        <v>369</v>
      </c>
      <c r="F133" s="186">
        <v>158838.84</v>
      </c>
      <c r="G133" s="186"/>
      <c r="H133" s="186">
        <f t="shared" si="129"/>
        <v>158838.84</v>
      </c>
      <c r="I133" s="186">
        <v>158646.57999999999</v>
      </c>
      <c r="J133" s="186">
        <f>158646.58-23784.04</f>
        <v>134862.53999999998</v>
      </c>
      <c r="K133" s="283">
        <f t="shared" si="117"/>
        <v>192.26000000000931</v>
      </c>
      <c r="M133"/>
      <c r="N133"/>
      <c r="O133"/>
      <c r="P133"/>
      <c r="Q133"/>
    </row>
    <row r="134" spans="1:17" s="66" customFormat="1" x14ac:dyDescent="0.25">
      <c r="A134" s="75"/>
      <c r="B134" s="76"/>
      <c r="C134" s="106">
        <v>29800</v>
      </c>
      <c r="D134" s="179" t="s">
        <v>370</v>
      </c>
      <c r="E134" s="180"/>
      <c r="F134" s="143">
        <f t="shared" ref="F134" si="197">SUM(F135:F136)</f>
        <v>385900.79999999999</v>
      </c>
      <c r="G134" s="143">
        <f t="shared" ref="G134" si="198">SUM(G135:G136)</f>
        <v>-94000</v>
      </c>
      <c r="H134" s="143">
        <f t="shared" ref="H134:K134" si="199">SUM(H135:H136)</f>
        <v>291900.79999999999</v>
      </c>
      <c r="I134" s="143">
        <f t="shared" si="199"/>
        <v>139652.28</v>
      </c>
      <c r="J134" s="143">
        <f t="shared" ref="J134" si="200">SUM(J135:J136)</f>
        <v>139570.77000000002</v>
      </c>
      <c r="K134" s="285">
        <f t="shared" si="199"/>
        <v>152248.51999999999</v>
      </c>
      <c r="M134"/>
      <c r="N134"/>
      <c r="O134"/>
      <c r="P134"/>
      <c r="Q134"/>
    </row>
    <row r="135" spans="1:17" s="66" customFormat="1" ht="45" x14ac:dyDescent="0.25">
      <c r="A135" s="75"/>
      <c r="B135" s="77"/>
      <c r="C135" s="76"/>
      <c r="D135" s="78">
        <v>29804</v>
      </c>
      <c r="E135" s="79" t="s">
        <v>371</v>
      </c>
      <c r="F135" s="186">
        <v>152568.72</v>
      </c>
      <c r="G135" s="186">
        <v>6000</v>
      </c>
      <c r="H135" s="186">
        <f t="shared" si="129"/>
        <v>158568.72</v>
      </c>
      <c r="I135" s="186">
        <v>128825.28</v>
      </c>
      <c r="J135" s="186">
        <f>128825.28-81.51</f>
        <v>128743.77</v>
      </c>
      <c r="K135" s="283">
        <f t="shared" si="117"/>
        <v>29743.440000000002</v>
      </c>
      <c r="M135"/>
      <c r="N135"/>
      <c r="O135"/>
      <c r="P135"/>
      <c r="Q135"/>
    </row>
    <row r="136" spans="1:17" s="66" customFormat="1" ht="45" x14ac:dyDescent="0.25">
      <c r="A136" s="75"/>
      <c r="B136" s="77"/>
      <c r="C136" s="76"/>
      <c r="D136" s="78">
        <v>29805</v>
      </c>
      <c r="E136" s="79" t="s">
        <v>565</v>
      </c>
      <c r="F136" s="186">
        <v>233332.08</v>
      </c>
      <c r="G136" s="186">
        <v>-100000</v>
      </c>
      <c r="H136" s="186">
        <f t="shared" si="129"/>
        <v>133332.07999999999</v>
      </c>
      <c r="I136" s="186">
        <v>10827</v>
      </c>
      <c r="J136" s="186">
        <v>10827</v>
      </c>
      <c r="K136" s="283">
        <f t="shared" si="117"/>
        <v>122505.07999999999</v>
      </c>
      <c r="M136"/>
      <c r="N136"/>
      <c r="O136"/>
      <c r="P136"/>
      <c r="Q136"/>
    </row>
    <row r="137" spans="1:17" s="66" customFormat="1" x14ac:dyDescent="0.25">
      <c r="A137" s="75"/>
      <c r="B137" s="77"/>
      <c r="C137" s="76"/>
      <c r="D137" s="78"/>
      <c r="E137" s="79"/>
      <c r="F137" s="186"/>
      <c r="G137" s="186"/>
      <c r="H137" s="186"/>
      <c r="I137" s="186"/>
      <c r="J137" s="186"/>
      <c r="K137" s="283"/>
      <c r="M137"/>
      <c r="N137"/>
      <c r="O137"/>
      <c r="P137"/>
      <c r="Q137"/>
    </row>
    <row r="138" spans="1:17" s="66" customFormat="1" x14ac:dyDescent="0.25">
      <c r="A138" s="67">
        <v>30000</v>
      </c>
      <c r="B138" s="68" t="s">
        <v>372</v>
      </c>
      <c r="C138" s="69"/>
      <c r="D138" s="69"/>
      <c r="E138" s="70"/>
      <c r="F138" s="141">
        <f>SUM(F139,F154,F163,F176,F186,F209,F212,F227)</f>
        <v>28249911.129999999</v>
      </c>
      <c r="G138" s="141">
        <f>SUM(G139,G154,G163,G176,G186,G209,G212,G227,G231)</f>
        <v>19002388.990000002</v>
      </c>
      <c r="H138" s="141">
        <f t="shared" ref="H138:K138" si="201">SUM(H139,H154,H163,H176,H186,H209,H212,H227,H231)</f>
        <v>47252300.120000012</v>
      </c>
      <c r="I138" s="141">
        <f t="shared" ref="I138:J138" si="202">SUM(I139,I154,I163,I176,I186,I209,I212,I227,I231)</f>
        <v>38502420.229999997</v>
      </c>
      <c r="J138" s="141">
        <f t="shared" si="202"/>
        <v>29744320.270000003</v>
      </c>
      <c r="K138" s="283">
        <f t="shared" si="201"/>
        <v>8749879.8899999969</v>
      </c>
      <c r="M138" s="268">
        <f>I138-J138</f>
        <v>8758099.9599999934</v>
      </c>
      <c r="N138" s="267"/>
      <c r="O138"/>
      <c r="P138"/>
      <c r="Q138"/>
    </row>
    <row r="139" spans="1:17" s="66" customFormat="1" x14ac:dyDescent="0.25">
      <c r="A139" s="75"/>
      <c r="B139" s="181">
        <v>31000</v>
      </c>
      <c r="C139" s="182" t="s">
        <v>373</v>
      </c>
      <c r="D139" s="183"/>
      <c r="E139" s="184"/>
      <c r="F139" s="142">
        <f>SUM(F140,F142,F144,F146,F150,F152)</f>
        <v>11097656.41</v>
      </c>
      <c r="G139" s="142">
        <f t="shared" ref="G139" si="203">SUM(G140,G142,G144,G146,G148,G150,G152)</f>
        <v>9567500</v>
      </c>
      <c r="H139" s="142">
        <f t="shared" ref="H139:K139" si="204">SUM(H140,H142,H144,H146,H148,H150,H152)</f>
        <v>20665156.41</v>
      </c>
      <c r="I139" s="142">
        <f t="shared" ref="I139:J139" si="205">SUM(I140,I142,I144,I146,I148,I150,I152)</f>
        <v>17206927.469999999</v>
      </c>
      <c r="J139" s="142">
        <f t="shared" si="205"/>
        <v>14463944.57</v>
      </c>
      <c r="K139" s="284">
        <f t="shared" si="204"/>
        <v>3458228.9399999995</v>
      </c>
      <c r="M139" s="268"/>
      <c r="N139"/>
      <c r="O139"/>
      <c r="P139"/>
      <c r="Q139"/>
    </row>
    <row r="140" spans="1:17" s="66" customFormat="1" x14ac:dyDescent="0.25">
      <c r="A140" s="75"/>
      <c r="B140" s="76"/>
      <c r="C140" s="106">
        <v>31100</v>
      </c>
      <c r="D140" s="179" t="s">
        <v>374</v>
      </c>
      <c r="E140" s="180"/>
      <c r="F140" s="143">
        <f t="shared" ref="F140:G140" si="206">SUM(F141)</f>
        <v>5501223.3200000003</v>
      </c>
      <c r="G140" s="143">
        <f t="shared" si="206"/>
        <v>7000000</v>
      </c>
      <c r="H140" s="143">
        <f t="shared" ref="H140:K140" si="207">SUM(H141)</f>
        <v>12501223.32</v>
      </c>
      <c r="I140" s="143">
        <f t="shared" si="207"/>
        <v>10908223.210000001</v>
      </c>
      <c r="J140" s="143">
        <f t="shared" si="207"/>
        <v>10394324.210000001</v>
      </c>
      <c r="K140" s="285">
        <f t="shared" si="207"/>
        <v>1593000.1099999994</v>
      </c>
      <c r="M140" s="268"/>
      <c r="N140"/>
      <c r="O140"/>
      <c r="P140"/>
      <c r="Q140"/>
    </row>
    <row r="141" spans="1:17" s="66" customFormat="1" x14ac:dyDescent="0.25">
      <c r="A141" s="75"/>
      <c r="B141" s="77"/>
      <c r="C141" s="76"/>
      <c r="D141" s="78">
        <v>31101</v>
      </c>
      <c r="E141" s="79" t="s">
        <v>375</v>
      </c>
      <c r="F141" s="186">
        <f>13950127-8448903.68</f>
        <v>5501223.3200000003</v>
      </c>
      <c r="G141" s="186">
        <v>7000000</v>
      </c>
      <c r="H141" s="186">
        <f t="shared" si="129"/>
        <v>12501223.32</v>
      </c>
      <c r="I141" s="186">
        <v>10908223.210000001</v>
      </c>
      <c r="J141" s="186">
        <f>10908223.21-513899</f>
        <v>10394324.210000001</v>
      </c>
      <c r="K141" s="283">
        <f t="shared" si="117"/>
        <v>1593000.1099999994</v>
      </c>
      <c r="M141"/>
      <c r="N141"/>
      <c r="O141"/>
      <c r="P141"/>
      <c r="Q141"/>
    </row>
    <row r="142" spans="1:17" s="66" customFormat="1" x14ac:dyDescent="0.25">
      <c r="A142" s="75"/>
      <c r="B142" s="76"/>
      <c r="C142" s="106">
        <v>31300</v>
      </c>
      <c r="D142" s="179" t="s">
        <v>376</v>
      </c>
      <c r="E142" s="180"/>
      <c r="F142" s="143">
        <f t="shared" ref="F142" si="208">SUM(F143)</f>
        <v>777258.4</v>
      </c>
      <c r="G142" s="143">
        <f t="shared" ref="G142" si="209">SUM(G143)</f>
        <v>1800000</v>
      </c>
      <c r="H142" s="143">
        <f t="shared" ref="H142:K142" si="210">SUM(H143)</f>
        <v>2577258.4</v>
      </c>
      <c r="I142" s="143">
        <f t="shared" si="210"/>
        <v>1615721.88</v>
      </c>
      <c r="J142" s="143">
        <f t="shared" si="210"/>
        <v>840299.32999999984</v>
      </c>
      <c r="K142" s="285">
        <f t="shared" si="210"/>
        <v>961536.52</v>
      </c>
      <c r="M142"/>
      <c r="N142"/>
      <c r="O142"/>
      <c r="P142"/>
      <c r="Q142"/>
    </row>
    <row r="143" spans="1:17" s="66" customFormat="1" x14ac:dyDescent="0.25">
      <c r="A143" s="75"/>
      <c r="B143" s="77"/>
      <c r="C143" s="76"/>
      <c r="D143" s="78">
        <v>31301</v>
      </c>
      <c r="E143" s="79" t="s">
        <v>377</v>
      </c>
      <c r="F143" s="186">
        <f>1779575-1002316.6</f>
        <v>777258.4</v>
      </c>
      <c r="G143" s="186">
        <v>1800000</v>
      </c>
      <c r="H143" s="186">
        <f t="shared" si="129"/>
        <v>2577258.4</v>
      </c>
      <c r="I143" s="186">
        <v>1615721.88</v>
      </c>
      <c r="J143" s="186">
        <f>1615721.88-775422.55</f>
        <v>840299.32999999984</v>
      </c>
      <c r="K143" s="283">
        <f t="shared" si="117"/>
        <v>961536.52</v>
      </c>
      <c r="M143"/>
      <c r="N143"/>
      <c r="O143"/>
      <c r="P143"/>
      <c r="Q143"/>
    </row>
    <row r="144" spans="1:17" s="66" customFormat="1" x14ac:dyDescent="0.25">
      <c r="A144" s="75"/>
      <c r="B144" s="76"/>
      <c r="C144" s="106">
        <v>31400</v>
      </c>
      <c r="D144" s="179" t="s">
        <v>378</v>
      </c>
      <c r="E144" s="180"/>
      <c r="F144" s="143">
        <f t="shared" ref="F144" si="211">SUM(F145)</f>
        <v>330531.49</v>
      </c>
      <c r="G144" s="143">
        <f t="shared" ref="G144" si="212">SUM(G145)</f>
        <v>700000</v>
      </c>
      <c r="H144" s="143">
        <f t="shared" ref="H144:K144" si="213">SUM(H145)</f>
        <v>1030531.49</v>
      </c>
      <c r="I144" s="143">
        <f t="shared" si="213"/>
        <v>799997.95</v>
      </c>
      <c r="J144" s="143">
        <f t="shared" si="213"/>
        <v>735106.91999999993</v>
      </c>
      <c r="K144" s="285">
        <f t="shared" si="213"/>
        <v>230533.54000000004</v>
      </c>
      <c r="M144"/>
      <c r="N144"/>
      <c r="O144"/>
      <c r="P144"/>
      <c r="Q144"/>
    </row>
    <row r="145" spans="1:17" s="66" customFormat="1" x14ac:dyDescent="0.25">
      <c r="A145" s="75"/>
      <c r="B145" s="77"/>
      <c r="C145" s="76"/>
      <c r="D145" s="78">
        <v>31401</v>
      </c>
      <c r="E145" s="79" t="s">
        <v>379</v>
      </c>
      <c r="F145" s="186">
        <f>923747.26-593215.77</f>
        <v>330531.49</v>
      </c>
      <c r="G145" s="186">
        <v>700000</v>
      </c>
      <c r="H145" s="186">
        <f t="shared" ref="H145:H208" si="214">F145+G145</f>
        <v>1030531.49</v>
      </c>
      <c r="I145" s="186">
        <v>799997.95</v>
      </c>
      <c r="J145" s="186">
        <f>799997.95-64891.03</f>
        <v>735106.91999999993</v>
      </c>
      <c r="K145" s="283">
        <f t="shared" ref="K145:K208" si="215">H145-I145</f>
        <v>230533.54000000004</v>
      </c>
      <c r="M145"/>
      <c r="N145"/>
      <c r="O145"/>
      <c r="P145"/>
      <c r="Q145"/>
    </row>
    <row r="146" spans="1:17" s="66" customFormat="1" x14ac:dyDescent="0.25">
      <c r="A146" s="75"/>
      <c r="B146" s="76"/>
      <c r="C146" s="106">
        <v>31500</v>
      </c>
      <c r="D146" s="179" t="s">
        <v>380</v>
      </c>
      <c r="E146" s="180"/>
      <c r="F146" s="143">
        <f t="shared" ref="F146:G146" si="216">SUM(F147)</f>
        <v>494756</v>
      </c>
      <c r="G146" s="143">
        <f t="shared" si="216"/>
        <v>67500</v>
      </c>
      <c r="H146" s="143">
        <f t="shared" ref="H146:K146" si="217">SUM(H147)</f>
        <v>562256</v>
      </c>
      <c r="I146" s="143">
        <f t="shared" si="217"/>
        <v>396184.4</v>
      </c>
      <c r="J146" s="143">
        <f t="shared" si="217"/>
        <v>366575.68000000005</v>
      </c>
      <c r="K146" s="285">
        <f t="shared" si="217"/>
        <v>166071.59999999998</v>
      </c>
      <c r="M146"/>
      <c r="N146"/>
      <c r="O146"/>
      <c r="P146"/>
      <c r="Q146"/>
    </row>
    <row r="147" spans="1:17" s="66" customFormat="1" x14ac:dyDescent="0.25">
      <c r="A147" s="75"/>
      <c r="B147" s="77"/>
      <c r="C147" s="76"/>
      <c r="D147" s="78">
        <v>31501</v>
      </c>
      <c r="E147" s="79" t="s">
        <v>532</v>
      </c>
      <c r="F147" s="186">
        <v>494756</v>
      </c>
      <c r="G147" s="186">
        <v>67500</v>
      </c>
      <c r="H147" s="186">
        <f t="shared" si="214"/>
        <v>562256</v>
      </c>
      <c r="I147" s="186">
        <v>396184.4</v>
      </c>
      <c r="J147" s="186">
        <f>396184.4-29608.72</f>
        <v>366575.68000000005</v>
      </c>
      <c r="K147" s="283">
        <f t="shared" si="215"/>
        <v>166071.59999999998</v>
      </c>
      <c r="M147"/>
      <c r="N147"/>
      <c r="O147"/>
      <c r="P147"/>
      <c r="Q147"/>
    </row>
    <row r="148" spans="1:17" s="66" customFormat="1" hidden="1" x14ac:dyDescent="0.25">
      <c r="A148" s="75"/>
      <c r="B148" s="76"/>
      <c r="C148" s="106">
        <v>31600</v>
      </c>
      <c r="D148" s="179" t="s">
        <v>381</v>
      </c>
      <c r="E148" s="180"/>
      <c r="F148" s="143"/>
      <c r="G148" s="143">
        <f t="shared" ref="G148" si="218">SUM(G149)</f>
        <v>0</v>
      </c>
      <c r="H148" s="143">
        <f t="shared" ref="H148:K148" si="219">SUM(H149)</f>
        <v>0</v>
      </c>
      <c r="I148" s="143"/>
      <c r="J148" s="143"/>
      <c r="K148" s="285">
        <f t="shared" si="219"/>
        <v>0</v>
      </c>
      <c r="M148"/>
      <c r="N148"/>
      <c r="O148"/>
      <c r="P148"/>
      <c r="Q148"/>
    </row>
    <row r="149" spans="1:17" s="66" customFormat="1" ht="15" hidden="1" customHeight="1" x14ac:dyDescent="0.25">
      <c r="A149" s="75"/>
      <c r="B149" s="77"/>
      <c r="C149" s="76"/>
      <c r="D149" s="78">
        <v>31601</v>
      </c>
      <c r="E149" s="79" t="s">
        <v>381</v>
      </c>
      <c r="F149" s="186"/>
      <c r="G149" s="186"/>
      <c r="H149" s="186">
        <f t="shared" si="214"/>
        <v>0</v>
      </c>
      <c r="I149" s="186">
        <v>0</v>
      </c>
      <c r="J149" s="186">
        <v>0</v>
      </c>
      <c r="K149" s="283">
        <f t="shared" si="215"/>
        <v>0</v>
      </c>
      <c r="M149"/>
      <c r="N149"/>
      <c r="O149"/>
      <c r="P149"/>
      <c r="Q149"/>
    </row>
    <row r="150" spans="1:17" s="66" customFormat="1" x14ac:dyDescent="0.25">
      <c r="A150" s="75"/>
      <c r="B150" s="76"/>
      <c r="C150" s="106">
        <v>31700</v>
      </c>
      <c r="D150" s="179" t="s">
        <v>382</v>
      </c>
      <c r="E150" s="180"/>
      <c r="F150" s="143">
        <f t="shared" ref="F150" si="220">SUM(F151)</f>
        <v>2557552.2000000002</v>
      </c>
      <c r="G150" s="143">
        <f t="shared" ref="G150" si="221">SUM(G151)</f>
        <v>0</v>
      </c>
      <c r="H150" s="143">
        <f t="shared" ref="H150:K150" si="222">SUM(H151)</f>
        <v>2557552.2000000002</v>
      </c>
      <c r="I150" s="143">
        <f t="shared" si="222"/>
        <v>2359012.9500000002</v>
      </c>
      <c r="J150" s="143">
        <f t="shared" si="222"/>
        <v>1200179.9100000001</v>
      </c>
      <c r="K150" s="285">
        <f t="shared" si="222"/>
        <v>198539.25</v>
      </c>
      <c r="M150"/>
      <c r="N150"/>
      <c r="O150"/>
      <c r="P150"/>
      <c r="Q150"/>
    </row>
    <row r="151" spans="1:17" s="66" customFormat="1" ht="30" x14ac:dyDescent="0.25">
      <c r="A151" s="75"/>
      <c r="B151" s="77"/>
      <c r="C151" s="76"/>
      <c r="D151" s="78">
        <v>31701</v>
      </c>
      <c r="E151" s="79" t="s">
        <v>382</v>
      </c>
      <c r="F151" s="186">
        <v>2557552.2000000002</v>
      </c>
      <c r="G151" s="186"/>
      <c r="H151" s="186">
        <f t="shared" si="214"/>
        <v>2557552.2000000002</v>
      </c>
      <c r="I151" s="186">
        <v>2359012.9500000002</v>
      </c>
      <c r="J151" s="186">
        <f>2359012.95-1158833.04</f>
        <v>1200179.9100000001</v>
      </c>
      <c r="K151" s="283">
        <f t="shared" si="215"/>
        <v>198539.25</v>
      </c>
      <c r="M151"/>
      <c r="N151"/>
      <c r="O151"/>
      <c r="P151"/>
      <c r="Q151"/>
    </row>
    <row r="152" spans="1:17" s="66" customFormat="1" x14ac:dyDescent="0.25">
      <c r="A152" s="75"/>
      <c r="B152" s="76"/>
      <c r="C152" s="106">
        <v>31800</v>
      </c>
      <c r="D152" s="179" t="s">
        <v>383</v>
      </c>
      <c r="E152" s="180"/>
      <c r="F152" s="143">
        <f t="shared" ref="F152" si="223">SUM(F153)</f>
        <v>1436335</v>
      </c>
      <c r="G152" s="143">
        <f t="shared" ref="G152" si="224">SUM(G153)</f>
        <v>0</v>
      </c>
      <c r="H152" s="143">
        <f t="shared" ref="H152:K152" si="225">SUM(H153)</f>
        <v>1436335</v>
      </c>
      <c r="I152" s="143">
        <f t="shared" si="225"/>
        <v>1127787.08</v>
      </c>
      <c r="J152" s="143">
        <f t="shared" si="225"/>
        <v>927458.52</v>
      </c>
      <c r="K152" s="285">
        <f t="shared" si="225"/>
        <v>308547.91999999993</v>
      </c>
      <c r="M152"/>
      <c r="N152"/>
      <c r="O152"/>
      <c r="P152"/>
      <c r="Q152"/>
    </row>
    <row r="153" spans="1:17" s="66" customFormat="1" x14ac:dyDescent="0.25">
      <c r="A153" s="75"/>
      <c r="B153" s="77"/>
      <c r="C153" s="76"/>
      <c r="D153" s="78">
        <v>31801</v>
      </c>
      <c r="E153" s="79" t="s">
        <v>533</v>
      </c>
      <c r="F153" s="186">
        <v>1436335</v>
      </c>
      <c r="G153" s="186"/>
      <c r="H153" s="186">
        <f t="shared" si="214"/>
        <v>1436335</v>
      </c>
      <c r="I153" s="186">
        <v>1127787.08</v>
      </c>
      <c r="J153" s="186">
        <f>1127787.08-200328.56</f>
        <v>927458.52</v>
      </c>
      <c r="K153" s="283">
        <f t="shared" si="215"/>
        <v>308547.91999999993</v>
      </c>
      <c r="M153"/>
      <c r="N153"/>
      <c r="O153"/>
      <c r="P153"/>
      <c r="Q153"/>
    </row>
    <row r="154" spans="1:17" s="66" customFormat="1" x14ac:dyDescent="0.25">
      <c r="A154" s="75"/>
      <c r="B154" s="181">
        <v>32000</v>
      </c>
      <c r="C154" s="182" t="s">
        <v>384</v>
      </c>
      <c r="D154" s="183"/>
      <c r="E154" s="184"/>
      <c r="F154" s="142">
        <f t="shared" ref="F154:G154" si="226">SUM(F155,F157,F159,F161)</f>
        <v>4834577.04</v>
      </c>
      <c r="G154" s="142">
        <f t="shared" si="226"/>
        <v>5225764.99</v>
      </c>
      <c r="H154" s="142">
        <f t="shared" ref="H154:K154" si="227">SUM(H155,H157,H159,H161)</f>
        <v>10060342.030000001</v>
      </c>
      <c r="I154" s="142">
        <f t="shared" ref="I154:J154" si="228">SUM(I155,I157,I159,I161)</f>
        <v>7588526.9900000002</v>
      </c>
      <c r="J154" s="142">
        <f t="shared" si="228"/>
        <v>5737055.6300000008</v>
      </c>
      <c r="K154" s="284">
        <f t="shared" si="227"/>
        <v>2471815.0399999991</v>
      </c>
      <c r="M154"/>
      <c r="N154"/>
      <c r="O154"/>
      <c r="P154"/>
      <c r="Q154"/>
    </row>
    <row r="155" spans="1:17" s="66" customFormat="1" x14ac:dyDescent="0.25">
      <c r="A155" s="75"/>
      <c r="B155" s="76"/>
      <c r="C155" s="106">
        <v>32200</v>
      </c>
      <c r="D155" s="179" t="s">
        <v>385</v>
      </c>
      <c r="E155" s="180"/>
      <c r="F155" s="143">
        <f t="shared" ref="F155:G155" si="229">SUM(F156)</f>
        <v>1640655.9</v>
      </c>
      <c r="G155" s="143">
        <f t="shared" si="229"/>
        <v>1785000</v>
      </c>
      <c r="H155" s="143">
        <f t="shared" ref="H155:K155" si="230">SUM(H156)</f>
        <v>3425655.9</v>
      </c>
      <c r="I155" s="143">
        <f t="shared" si="230"/>
        <v>3033300.16</v>
      </c>
      <c r="J155" s="143">
        <f t="shared" si="230"/>
        <v>3033300.16</v>
      </c>
      <c r="K155" s="285">
        <f t="shared" si="230"/>
        <v>392355.73999999976</v>
      </c>
      <c r="M155"/>
      <c r="N155"/>
      <c r="O155"/>
      <c r="P155"/>
      <c r="Q155"/>
    </row>
    <row r="156" spans="1:17" s="66" customFormat="1" x14ac:dyDescent="0.25">
      <c r="A156" s="75"/>
      <c r="B156" s="77"/>
      <c r="C156" s="76"/>
      <c r="D156" s="78">
        <v>32201</v>
      </c>
      <c r="E156" s="79" t="s">
        <v>386</v>
      </c>
      <c r="F156" s="186">
        <f>3436451-1795795.1</f>
        <v>1640655.9</v>
      </c>
      <c r="G156" s="186">
        <v>1785000</v>
      </c>
      <c r="H156" s="186">
        <f t="shared" si="214"/>
        <v>3425655.9</v>
      </c>
      <c r="I156" s="186">
        <v>3033300.16</v>
      </c>
      <c r="J156" s="186">
        <v>3033300.16</v>
      </c>
      <c r="K156" s="283">
        <f t="shared" si="215"/>
        <v>392355.73999999976</v>
      </c>
      <c r="M156"/>
      <c r="N156"/>
      <c r="O156"/>
      <c r="P156"/>
      <c r="Q156"/>
    </row>
    <row r="157" spans="1:17" s="66" customFormat="1" x14ac:dyDescent="0.25">
      <c r="A157" s="75"/>
      <c r="B157" s="76"/>
      <c r="C157" s="106">
        <v>32300</v>
      </c>
      <c r="D157" s="179" t="s">
        <v>387</v>
      </c>
      <c r="E157" s="180"/>
      <c r="F157" s="143">
        <f t="shared" ref="F157" si="231">SUM(F158)</f>
        <v>1579537.02</v>
      </c>
      <c r="G157" s="143">
        <f t="shared" ref="G157" si="232">SUM(G158)</f>
        <v>3440764.99</v>
      </c>
      <c r="H157" s="143">
        <f t="shared" ref="H157:K157" si="233">SUM(H158)</f>
        <v>5020302.01</v>
      </c>
      <c r="I157" s="143">
        <f t="shared" si="233"/>
        <v>3005716.43</v>
      </c>
      <c r="J157" s="143">
        <f t="shared" si="233"/>
        <v>1176865.07</v>
      </c>
      <c r="K157" s="285">
        <f t="shared" si="233"/>
        <v>2014585.5799999996</v>
      </c>
      <c r="M157"/>
      <c r="N157"/>
      <c r="O157"/>
      <c r="P157"/>
      <c r="Q157"/>
    </row>
    <row r="158" spans="1:17" s="66" customFormat="1" ht="45" x14ac:dyDescent="0.25">
      <c r="A158" s="75"/>
      <c r="B158" s="77"/>
      <c r="C158" s="76"/>
      <c r="D158" s="78">
        <v>32301</v>
      </c>
      <c r="E158" s="79" t="s">
        <v>388</v>
      </c>
      <c r="F158" s="186">
        <f>5706931-4127393.98</f>
        <v>1579537.02</v>
      </c>
      <c r="G158" s="186">
        <v>3440764.99</v>
      </c>
      <c r="H158" s="186">
        <f t="shared" si="214"/>
        <v>5020302.01</v>
      </c>
      <c r="I158" s="186">
        <v>3005716.43</v>
      </c>
      <c r="J158" s="186">
        <f>3005716.43-1858851.36+30000</f>
        <v>1176865.07</v>
      </c>
      <c r="K158" s="283">
        <f t="shared" si="215"/>
        <v>2014585.5799999996</v>
      </c>
      <c r="M158"/>
      <c r="N158"/>
      <c r="O158"/>
      <c r="P158"/>
      <c r="Q158"/>
    </row>
    <row r="159" spans="1:17" s="66" customFormat="1" x14ac:dyDescent="0.25">
      <c r="A159" s="75"/>
      <c r="B159" s="76"/>
      <c r="C159" s="106">
        <v>32700</v>
      </c>
      <c r="D159" s="179" t="s">
        <v>389</v>
      </c>
      <c r="E159" s="180"/>
      <c r="F159" s="143">
        <f t="shared" ref="F159" si="234">SUM(F160)</f>
        <v>1466154.24</v>
      </c>
      <c r="G159" s="143">
        <f t="shared" ref="G159" si="235">SUM(G160)</f>
        <v>0</v>
      </c>
      <c r="H159" s="143">
        <f t="shared" ref="H159:K159" si="236">SUM(H160)</f>
        <v>1466154.24</v>
      </c>
      <c r="I159" s="143">
        <f t="shared" si="236"/>
        <v>1459030.4</v>
      </c>
      <c r="J159" s="143">
        <f t="shared" si="236"/>
        <v>1459030.4</v>
      </c>
      <c r="K159" s="285">
        <f t="shared" si="236"/>
        <v>7123.8400000000838</v>
      </c>
      <c r="M159"/>
      <c r="N159"/>
      <c r="O159"/>
      <c r="P159"/>
      <c r="Q159"/>
    </row>
    <row r="160" spans="1:17" s="66" customFormat="1" x14ac:dyDescent="0.25">
      <c r="A160" s="75"/>
      <c r="B160" s="77"/>
      <c r="C160" s="76"/>
      <c r="D160" s="78">
        <v>32701</v>
      </c>
      <c r="E160" s="79" t="s">
        <v>389</v>
      </c>
      <c r="F160" s="186">
        <v>1466154.24</v>
      </c>
      <c r="G160" s="186"/>
      <c r="H160" s="186">
        <f t="shared" si="214"/>
        <v>1466154.24</v>
      </c>
      <c r="I160" s="186">
        <v>1459030.4</v>
      </c>
      <c r="J160" s="186">
        <v>1459030.4</v>
      </c>
      <c r="K160" s="283">
        <f t="shared" si="215"/>
        <v>7123.8400000000838</v>
      </c>
      <c r="M160"/>
      <c r="N160"/>
      <c r="O160"/>
      <c r="P160"/>
      <c r="Q160"/>
    </row>
    <row r="161" spans="1:17" s="66" customFormat="1" x14ac:dyDescent="0.25">
      <c r="A161" s="75"/>
      <c r="B161" s="76"/>
      <c r="C161" s="106">
        <v>32900</v>
      </c>
      <c r="D161" s="179" t="s">
        <v>390</v>
      </c>
      <c r="E161" s="180"/>
      <c r="F161" s="143">
        <f t="shared" ref="F161" si="237">SUM(F162)</f>
        <v>148229.88</v>
      </c>
      <c r="G161" s="143">
        <f t="shared" ref="G161" si="238">SUM(G162)</f>
        <v>0</v>
      </c>
      <c r="H161" s="143">
        <f t="shared" ref="H161:K161" si="239">SUM(H162)</f>
        <v>148229.88</v>
      </c>
      <c r="I161" s="143">
        <f t="shared" si="239"/>
        <v>90480</v>
      </c>
      <c r="J161" s="143">
        <f t="shared" si="239"/>
        <v>67860</v>
      </c>
      <c r="K161" s="285">
        <f t="shared" si="239"/>
        <v>57749.880000000005</v>
      </c>
      <c r="M161"/>
      <c r="N161"/>
      <c r="O161"/>
      <c r="P161"/>
      <c r="Q161"/>
    </row>
    <row r="162" spans="1:17" s="66" customFormat="1" x14ac:dyDescent="0.25">
      <c r="A162" s="75"/>
      <c r="B162" s="77"/>
      <c r="C162" s="76"/>
      <c r="D162" s="78">
        <v>32901</v>
      </c>
      <c r="E162" s="79" t="s">
        <v>390</v>
      </c>
      <c r="F162" s="186">
        <v>148229.88</v>
      </c>
      <c r="G162" s="186"/>
      <c r="H162" s="186">
        <f t="shared" si="214"/>
        <v>148229.88</v>
      </c>
      <c r="I162" s="186">
        <v>90480</v>
      </c>
      <c r="J162" s="186">
        <f>90480-22620</f>
        <v>67860</v>
      </c>
      <c r="K162" s="283">
        <f t="shared" si="215"/>
        <v>57749.880000000005</v>
      </c>
      <c r="M162"/>
      <c r="N162"/>
      <c r="O162"/>
      <c r="P162"/>
      <c r="Q162"/>
    </row>
    <row r="163" spans="1:17" s="66" customFormat="1" x14ac:dyDescent="0.25">
      <c r="A163" s="75"/>
      <c r="B163" s="181">
        <v>33000</v>
      </c>
      <c r="C163" s="182" t="s">
        <v>391</v>
      </c>
      <c r="D163" s="183"/>
      <c r="E163" s="184"/>
      <c r="F163" s="142">
        <f t="shared" ref="F163:K163" si="240">SUM(F164,F166,F168,F170,F174)</f>
        <v>2829768.4299999997</v>
      </c>
      <c r="G163" s="142">
        <f>SUM(G164,G166,G168,G170,G174)</f>
        <v>3599384</v>
      </c>
      <c r="H163" s="142">
        <f t="shared" si="240"/>
        <v>6429152.4299999997</v>
      </c>
      <c r="I163" s="142">
        <f t="shared" ref="I163:J163" si="241">SUM(I164,I166,I168,I170,I174)</f>
        <v>4222428.97</v>
      </c>
      <c r="J163" s="142">
        <f t="shared" si="241"/>
        <v>2686485.9099999997</v>
      </c>
      <c r="K163" s="284">
        <f t="shared" si="240"/>
        <v>2206723.46</v>
      </c>
      <c r="M163"/>
      <c r="N163"/>
      <c r="O163"/>
      <c r="P163"/>
      <c r="Q163"/>
    </row>
    <row r="164" spans="1:17" s="66" customFormat="1" x14ac:dyDescent="0.25">
      <c r="A164" s="75"/>
      <c r="B164" s="76"/>
      <c r="C164" s="106">
        <v>33100</v>
      </c>
      <c r="D164" s="179" t="s">
        <v>392</v>
      </c>
      <c r="E164" s="180"/>
      <c r="F164" s="143">
        <f t="shared" ref="F164:G164" si="242">SUM(F165)</f>
        <v>35895.5</v>
      </c>
      <c r="G164" s="143">
        <f t="shared" si="242"/>
        <v>-35895</v>
      </c>
      <c r="H164" s="143">
        <f t="shared" ref="H164:K164" si="243">SUM(H165)</f>
        <v>0.5</v>
      </c>
      <c r="I164" s="143">
        <f t="shared" si="243"/>
        <v>0</v>
      </c>
      <c r="J164" s="143">
        <f t="shared" si="243"/>
        <v>0</v>
      </c>
      <c r="K164" s="285">
        <f t="shared" si="243"/>
        <v>0.5</v>
      </c>
      <c r="M164"/>
      <c r="N164"/>
      <c r="O164"/>
      <c r="P164"/>
      <c r="Q164"/>
    </row>
    <row r="165" spans="1:17" s="66" customFormat="1" ht="30" x14ac:dyDescent="0.25">
      <c r="A165" s="75"/>
      <c r="B165" s="77"/>
      <c r="C165" s="76"/>
      <c r="D165" s="78">
        <v>33101</v>
      </c>
      <c r="E165" s="79" t="s">
        <v>393</v>
      </c>
      <c r="F165" s="186">
        <v>35895.5</v>
      </c>
      <c r="G165" s="186">
        <v>-35895</v>
      </c>
      <c r="H165" s="186">
        <f t="shared" si="214"/>
        <v>0.5</v>
      </c>
      <c r="I165" s="186">
        <v>0</v>
      </c>
      <c r="J165" s="186">
        <v>0</v>
      </c>
      <c r="K165" s="283">
        <f t="shared" si="215"/>
        <v>0.5</v>
      </c>
      <c r="M165"/>
      <c r="N165"/>
      <c r="O165"/>
      <c r="P165"/>
      <c r="Q165"/>
    </row>
    <row r="166" spans="1:17" s="66" customFormat="1" x14ac:dyDescent="0.25">
      <c r="A166" s="75"/>
      <c r="B166" s="76"/>
      <c r="C166" s="106">
        <v>33200</v>
      </c>
      <c r="D166" s="179" t="s">
        <v>566</v>
      </c>
      <c r="E166" s="180"/>
      <c r="F166" s="143">
        <f t="shared" ref="F166:K166" si="244">SUM(F167)</f>
        <v>0</v>
      </c>
      <c r="G166" s="143">
        <f t="shared" si="244"/>
        <v>11000</v>
      </c>
      <c r="H166" s="143">
        <f t="shared" si="244"/>
        <v>11000</v>
      </c>
      <c r="I166" s="143">
        <f t="shared" si="244"/>
        <v>10800</v>
      </c>
      <c r="J166" s="143">
        <f t="shared" si="244"/>
        <v>0</v>
      </c>
      <c r="K166" s="285">
        <f t="shared" si="244"/>
        <v>200</v>
      </c>
      <c r="M166"/>
      <c r="N166"/>
      <c r="O166"/>
      <c r="P166"/>
      <c r="Q166"/>
    </row>
    <row r="167" spans="1:17" s="66" customFormat="1" ht="30" x14ac:dyDescent="0.25">
      <c r="A167" s="75"/>
      <c r="B167" s="77"/>
      <c r="C167" s="76"/>
      <c r="D167" s="78">
        <v>33201</v>
      </c>
      <c r="E167" s="79" t="s">
        <v>567</v>
      </c>
      <c r="F167" s="186"/>
      <c r="G167" s="186">
        <v>11000</v>
      </c>
      <c r="H167" s="186">
        <f t="shared" si="214"/>
        <v>11000</v>
      </c>
      <c r="I167" s="186">
        <v>10800</v>
      </c>
      <c r="J167" s="186">
        <f>10800-10800</f>
        <v>0</v>
      </c>
      <c r="K167" s="283">
        <f t="shared" si="215"/>
        <v>200</v>
      </c>
      <c r="M167"/>
      <c r="N167"/>
      <c r="O167"/>
      <c r="P167"/>
      <c r="Q167"/>
    </row>
    <row r="168" spans="1:17" s="66" customFormat="1" hidden="1" x14ac:dyDescent="0.25">
      <c r="A168" s="75"/>
      <c r="B168" s="76"/>
      <c r="C168" s="106">
        <v>33400</v>
      </c>
      <c r="D168" s="179" t="s">
        <v>394</v>
      </c>
      <c r="E168" s="180"/>
      <c r="F168" s="143">
        <f t="shared" ref="F168:K168" si="245">SUM(F169)</f>
        <v>0</v>
      </c>
      <c r="G168" s="143">
        <f t="shared" si="245"/>
        <v>0</v>
      </c>
      <c r="H168" s="143">
        <f t="shared" si="245"/>
        <v>0</v>
      </c>
      <c r="I168" s="143"/>
      <c r="J168" s="143"/>
      <c r="K168" s="285">
        <f t="shared" si="245"/>
        <v>0</v>
      </c>
      <c r="M168"/>
      <c r="N168"/>
      <c r="O168"/>
      <c r="P168"/>
      <c r="Q168"/>
    </row>
    <row r="169" spans="1:17" s="66" customFormat="1" hidden="1" x14ac:dyDescent="0.25">
      <c r="A169" s="75"/>
      <c r="B169" s="77"/>
      <c r="C169" s="76"/>
      <c r="D169" s="78">
        <v>33401</v>
      </c>
      <c r="E169" s="79" t="s">
        <v>394</v>
      </c>
      <c r="F169" s="186"/>
      <c r="G169" s="186"/>
      <c r="H169" s="186">
        <f t="shared" si="214"/>
        <v>0</v>
      </c>
      <c r="I169" s="186">
        <v>0</v>
      </c>
      <c r="J169" s="186">
        <v>0</v>
      </c>
      <c r="K169" s="283">
        <f t="shared" si="215"/>
        <v>0</v>
      </c>
      <c r="M169"/>
      <c r="N169"/>
      <c r="O169"/>
      <c r="P169"/>
      <c r="Q169"/>
    </row>
    <row r="170" spans="1:17" s="66" customFormat="1" x14ac:dyDescent="0.25">
      <c r="A170" s="75"/>
      <c r="B170" s="76"/>
      <c r="C170" s="106">
        <v>33600</v>
      </c>
      <c r="D170" s="179" t="s">
        <v>395</v>
      </c>
      <c r="E170" s="180"/>
      <c r="F170" s="143">
        <f t="shared" ref="F170:K170" si="246">SUM(F171:F173)</f>
        <v>567362.75</v>
      </c>
      <c r="G170" s="143">
        <f t="shared" si="246"/>
        <v>64000</v>
      </c>
      <c r="H170" s="143">
        <f t="shared" si="246"/>
        <v>631362.75</v>
      </c>
      <c r="I170" s="143">
        <f t="shared" si="246"/>
        <v>484353.81999999995</v>
      </c>
      <c r="J170" s="143">
        <f t="shared" ref="J170" si="247">SUM(J171:J173)</f>
        <v>374682.98</v>
      </c>
      <c r="K170" s="285">
        <f t="shared" si="246"/>
        <v>147008.93000000008</v>
      </c>
      <c r="M170"/>
      <c r="N170"/>
      <c r="O170"/>
      <c r="P170"/>
      <c r="Q170"/>
    </row>
    <row r="171" spans="1:17" s="66" customFormat="1" ht="30" x14ac:dyDescent="0.25">
      <c r="A171" s="75"/>
      <c r="B171" s="77"/>
      <c r="C171" s="76"/>
      <c r="D171" s="78">
        <v>33601</v>
      </c>
      <c r="E171" s="79" t="s">
        <v>534</v>
      </c>
      <c r="F171" s="186">
        <v>13289.64</v>
      </c>
      <c r="G171" s="186"/>
      <c r="H171" s="186">
        <f t="shared" si="214"/>
        <v>13289.64</v>
      </c>
      <c r="I171" s="186">
        <v>9832.84</v>
      </c>
      <c r="J171" s="186">
        <f>9832.84-500</f>
        <v>9332.84</v>
      </c>
      <c r="K171" s="283">
        <f t="shared" si="215"/>
        <v>3456.7999999999993</v>
      </c>
      <c r="M171"/>
      <c r="N171"/>
      <c r="O171"/>
      <c r="P171"/>
      <c r="Q171"/>
    </row>
    <row r="172" spans="1:17" s="66" customFormat="1" x14ac:dyDescent="0.25">
      <c r="A172" s="75"/>
      <c r="B172" s="77"/>
      <c r="C172" s="76"/>
      <c r="D172" s="78">
        <v>33602</v>
      </c>
      <c r="E172" s="79" t="s">
        <v>396</v>
      </c>
      <c r="F172" s="186">
        <v>27601.43</v>
      </c>
      <c r="G172" s="186"/>
      <c r="H172" s="186">
        <f t="shared" si="214"/>
        <v>27601.43</v>
      </c>
      <c r="I172" s="186">
        <v>26790.26</v>
      </c>
      <c r="J172" s="186">
        <f>26790.26-7706.4</f>
        <v>19083.86</v>
      </c>
      <c r="K172" s="283">
        <f t="shared" si="215"/>
        <v>811.17000000000189</v>
      </c>
      <c r="M172"/>
      <c r="N172"/>
      <c r="O172"/>
      <c r="P172"/>
      <c r="Q172"/>
    </row>
    <row r="173" spans="1:17" s="66" customFormat="1" x14ac:dyDescent="0.25">
      <c r="A173" s="75"/>
      <c r="B173" s="77"/>
      <c r="C173" s="76"/>
      <c r="D173" s="78">
        <v>33604</v>
      </c>
      <c r="E173" s="79" t="s">
        <v>397</v>
      </c>
      <c r="F173" s="186">
        <v>526471.68000000005</v>
      </c>
      <c r="G173" s="186">
        <v>64000</v>
      </c>
      <c r="H173" s="186">
        <f t="shared" si="214"/>
        <v>590471.68000000005</v>
      </c>
      <c r="I173" s="186">
        <v>447730.72</v>
      </c>
      <c r="J173" s="186">
        <f>447730.72-87530.52-13933.92</f>
        <v>346266.27999999997</v>
      </c>
      <c r="K173" s="283">
        <f t="shared" si="215"/>
        <v>142740.96000000008</v>
      </c>
      <c r="M173"/>
      <c r="N173"/>
      <c r="O173"/>
      <c r="P173"/>
      <c r="Q173"/>
    </row>
    <row r="174" spans="1:17" s="66" customFormat="1" x14ac:dyDescent="0.25">
      <c r="A174" s="75"/>
      <c r="B174" s="76"/>
      <c r="C174" s="106">
        <v>33800</v>
      </c>
      <c r="D174" s="179" t="s">
        <v>398</v>
      </c>
      <c r="E174" s="180"/>
      <c r="F174" s="143">
        <f t="shared" ref="F174" si="248">SUM(F175)</f>
        <v>2226510.1799999997</v>
      </c>
      <c r="G174" s="143">
        <f t="shared" ref="G174" si="249">SUM(G175)</f>
        <v>3560279</v>
      </c>
      <c r="H174" s="143">
        <f t="shared" ref="H174:K174" si="250">SUM(H175)</f>
        <v>5786789.1799999997</v>
      </c>
      <c r="I174" s="143">
        <f t="shared" si="250"/>
        <v>3727275.15</v>
      </c>
      <c r="J174" s="143">
        <f t="shared" si="250"/>
        <v>2311802.9299999997</v>
      </c>
      <c r="K174" s="285">
        <f t="shared" si="250"/>
        <v>2059514.0299999998</v>
      </c>
      <c r="M174"/>
      <c r="N174"/>
      <c r="O174"/>
      <c r="P174"/>
      <c r="Q174"/>
    </row>
    <row r="175" spans="1:17" s="66" customFormat="1" x14ac:dyDescent="0.25">
      <c r="A175" s="75"/>
      <c r="B175" s="77"/>
      <c r="C175" s="76"/>
      <c r="D175" s="78">
        <v>33801</v>
      </c>
      <c r="E175" s="79" t="s">
        <v>399</v>
      </c>
      <c r="F175" s="186">
        <f>6432905-4206394.82</f>
        <v>2226510.1799999997</v>
      </c>
      <c r="G175" s="186">
        <v>3560279</v>
      </c>
      <c r="H175" s="186">
        <f t="shared" si="214"/>
        <v>5786789.1799999997</v>
      </c>
      <c r="I175" s="186">
        <v>3727275.15</v>
      </c>
      <c r="J175" s="186">
        <f>3727275.15-1415472.22</f>
        <v>2311802.9299999997</v>
      </c>
      <c r="K175" s="283">
        <f t="shared" si="215"/>
        <v>2059514.0299999998</v>
      </c>
      <c r="M175"/>
      <c r="N175"/>
      <c r="O175"/>
      <c r="P175"/>
      <c r="Q175"/>
    </row>
    <row r="176" spans="1:17" s="66" customFormat="1" x14ac:dyDescent="0.25">
      <c r="A176" s="75"/>
      <c r="B176" s="181">
        <v>34000</v>
      </c>
      <c r="C176" s="182" t="s">
        <v>400</v>
      </c>
      <c r="D176" s="183"/>
      <c r="E176" s="184"/>
      <c r="F176" s="142">
        <f>SUM(F177,F182,F184)</f>
        <v>713633</v>
      </c>
      <c r="G176" s="142">
        <f t="shared" ref="G176" si="251">SUM(G177,G180,G182,G184)</f>
        <v>25953</v>
      </c>
      <c r="H176" s="142">
        <f t="shared" ref="H176:K176" si="252">SUM(H177,H180,H182,H184)</f>
        <v>739586</v>
      </c>
      <c r="I176" s="142">
        <f t="shared" ref="I176:J176" si="253">SUM(I177,I180,I182,I184)</f>
        <v>697533.14999999991</v>
      </c>
      <c r="J176" s="142">
        <f t="shared" si="253"/>
        <v>697533.14999999991</v>
      </c>
      <c r="K176" s="284">
        <f t="shared" si="252"/>
        <v>42052.850000000049</v>
      </c>
      <c r="M176"/>
      <c r="N176"/>
      <c r="O176"/>
      <c r="P176"/>
      <c r="Q176"/>
    </row>
    <row r="177" spans="1:17" s="66" customFormat="1" x14ac:dyDescent="0.25">
      <c r="A177" s="75"/>
      <c r="B177" s="76"/>
      <c r="C177" s="106">
        <v>34100</v>
      </c>
      <c r="D177" s="179" t="s">
        <v>401</v>
      </c>
      <c r="E177" s="180"/>
      <c r="F177" s="143">
        <f t="shared" ref="F177:G177" si="254">SUM(F178:F179)</f>
        <v>36886.94</v>
      </c>
      <c r="G177" s="143">
        <f t="shared" si="254"/>
        <v>40000</v>
      </c>
      <c r="H177" s="143">
        <f t="shared" ref="H177:K177" si="255">SUM(H178:H179)</f>
        <v>76886.94</v>
      </c>
      <c r="I177" s="143">
        <f t="shared" ref="I177:J177" si="256">SUM(I178:I179)</f>
        <v>47101.94</v>
      </c>
      <c r="J177" s="143">
        <f t="shared" si="256"/>
        <v>47101.94</v>
      </c>
      <c r="K177" s="285">
        <f t="shared" si="255"/>
        <v>29785</v>
      </c>
      <c r="M177"/>
      <c r="N177"/>
      <c r="O177"/>
      <c r="P177"/>
      <c r="Q177"/>
    </row>
    <row r="178" spans="1:17" s="66" customFormat="1" ht="30" x14ac:dyDescent="0.25">
      <c r="A178" s="75"/>
      <c r="B178" s="77"/>
      <c r="C178" s="76"/>
      <c r="D178" s="78">
        <v>34101</v>
      </c>
      <c r="E178" s="79" t="s">
        <v>402</v>
      </c>
      <c r="F178" s="186">
        <v>10222.799999999999</v>
      </c>
      <c r="G178" s="186">
        <v>40000</v>
      </c>
      <c r="H178" s="186">
        <f t="shared" si="214"/>
        <v>50222.8</v>
      </c>
      <c r="I178" s="186">
        <v>47101.94</v>
      </c>
      <c r="J178" s="186">
        <v>47101.94</v>
      </c>
      <c r="K178" s="283">
        <f t="shared" si="215"/>
        <v>3120.8600000000006</v>
      </c>
      <c r="M178"/>
      <c r="N178"/>
      <c r="O178"/>
      <c r="P178"/>
      <c r="Q178"/>
    </row>
    <row r="179" spans="1:17" s="66" customFormat="1" ht="30" x14ac:dyDescent="0.25">
      <c r="A179" s="75"/>
      <c r="B179" s="77"/>
      <c r="C179" s="76"/>
      <c r="D179" s="85">
        <v>34102</v>
      </c>
      <c r="E179" s="84" t="s">
        <v>568</v>
      </c>
      <c r="F179" s="186">
        <v>26664.14</v>
      </c>
      <c r="G179" s="186"/>
      <c r="H179" s="186">
        <f t="shared" si="214"/>
        <v>26664.14</v>
      </c>
      <c r="I179" s="186">
        <v>0</v>
      </c>
      <c r="J179" s="186">
        <v>0</v>
      </c>
      <c r="K179" s="283">
        <f t="shared" si="215"/>
        <v>26664.14</v>
      </c>
      <c r="M179"/>
      <c r="N179"/>
      <c r="O179"/>
      <c r="P179"/>
      <c r="Q179"/>
    </row>
    <row r="180" spans="1:17" s="66" customFormat="1" hidden="1" x14ac:dyDescent="0.25">
      <c r="A180" s="75"/>
      <c r="B180" s="76"/>
      <c r="C180" s="106">
        <v>34300</v>
      </c>
      <c r="D180" s="179" t="s">
        <v>403</v>
      </c>
      <c r="E180" s="180"/>
      <c r="F180" s="143"/>
      <c r="G180" s="143">
        <f t="shared" ref="G180" si="257">SUM(G181)</f>
        <v>0</v>
      </c>
      <c r="H180" s="143">
        <f t="shared" ref="H180:K180" si="258">SUM(H181)</f>
        <v>0</v>
      </c>
      <c r="I180" s="143"/>
      <c r="J180" s="143"/>
      <c r="K180" s="285">
        <f t="shared" si="258"/>
        <v>0</v>
      </c>
      <c r="M180"/>
      <c r="N180"/>
      <c r="O180"/>
      <c r="P180"/>
      <c r="Q180"/>
    </row>
    <row r="181" spans="1:17" s="66" customFormat="1" hidden="1" x14ac:dyDescent="0.25">
      <c r="A181" s="75"/>
      <c r="B181" s="77"/>
      <c r="C181" s="76"/>
      <c r="D181" s="78">
        <v>34302</v>
      </c>
      <c r="E181" s="79" t="s">
        <v>404</v>
      </c>
      <c r="F181" s="186"/>
      <c r="G181" s="186"/>
      <c r="H181" s="186">
        <f t="shared" si="214"/>
        <v>0</v>
      </c>
      <c r="I181" s="186">
        <v>0</v>
      </c>
      <c r="J181" s="186">
        <v>0</v>
      </c>
      <c r="K181" s="283">
        <f t="shared" si="215"/>
        <v>0</v>
      </c>
      <c r="M181"/>
      <c r="N181"/>
      <c r="O181"/>
      <c r="P181"/>
      <c r="Q181"/>
    </row>
    <row r="182" spans="1:17" s="66" customFormat="1" x14ac:dyDescent="0.25">
      <c r="A182" s="75"/>
      <c r="B182" s="76"/>
      <c r="C182" s="106">
        <v>34400</v>
      </c>
      <c r="D182" s="179" t="s">
        <v>405</v>
      </c>
      <c r="E182" s="180"/>
      <c r="F182" s="143">
        <f t="shared" ref="F182:G182" si="259">SUM(F183)</f>
        <v>12267.3</v>
      </c>
      <c r="G182" s="143">
        <f t="shared" si="259"/>
        <v>0</v>
      </c>
      <c r="H182" s="143">
        <f t="shared" ref="H182:K182" si="260">SUM(H183)</f>
        <v>12267.3</v>
      </c>
      <c r="I182" s="143">
        <f t="shared" si="260"/>
        <v>0</v>
      </c>
      <c r="J182" s="143">
        <f t="shared" si="260"/>
        <v>0</v>
      </c>
      <c r="K182" s="285">
        <f t="shared" si="260"/>
        <v>12267.3</v>
      </c>
      <c r="M182"/>
      <c r="N182"/>
      <c r="O182"/>
      <c r="P182"/>
      <c r="Q182"/>
    </row>
    <row r="183" spans="1:17" s="66" customFormat="1" ht="30" x14ac:dyDescent="0.25">
      <c r="A183" s="75"/>
      <c r="B183" s="77"/>
      <c r="C183" s="76"/>
      <c r="D183" s="78">
        <v>34401</v>
      </c>
      <c r="E183" s="79" t="s">
        <v>405</v>
      </c>
      <c r="F183" s="186">
        <v>12267.3</v>
      </c>
      <c r="G183" s="186"/>
      <c r="H183" s="186">
        <f t="shared" si="214"/>
        <v>12267.3</v>
      </c>
      <c r="I183" s="186">
        <v>0</v>
      </c>
      <c r="J183" s="186">
        <v>0</v>
      </c>
      <c r="K183" s="283">
        <f t="shared" si="215"/>
        <v>12267.3</v>
      </c>
      <c r="M183"/>
      <c r="N183"/>
      <c r="O183"/>
      <c r="P183"/>
      <c r="Q183"/>
    </row>
    <row r="184" spans="1:17" s="66" customFormat="1" x14ac:dyDescent="0.25">
      <c r="A184" s="75"/>
      <c r="B184" s="76"/>
      <c r="C184" s="106">
        <v>34500</v>
      </c>
      <c r="D184" s="179" t="s">
        <v>406</v>
      </c>
      <c r="E184" s="180"/>
      <c r="F184" s="143">
        <f t="shared" ref="F184:G184" si="261">SUM(F185)</f>
        <v>664478.76</v>
      </c>
      <c r="G184" s="143">
        <f t="shared" si="261"/>
        <v>-14047</v>
      </c>
      <c r="H184" s="143">
        <f t="shared" ref="H184:K184" si="262">SUM(H185)</f>
        <v>650431.76</v>
      </c>
      <c r="I184" s="143">
        <f t="shared" si="262"/>
        <v>650431.21</v>
      </c>
      <c r="J184" s="143">
        <f t="shared" si="262"/>
        <v>650431.21</v>
      </c>
      <c r="K184" s="285">
        <f t="shared" si="262"/>
        <v>0.55000000004656613</v>
      </c>
      <c r="M184"/>
      <c r="N184"/>
      <c r="O184"/>
      <c r="P184"/>
      <c r="Q184"/>
    </row>
    <row r="185" spans="1:17" s="66" customFormat="1" x14ac:dyDescent="0.25">
      <c r="A185" s="75"/>
      <c r="B185" s="77"/>
      <c r="C185" s="76"/>
      <c r="D185" s="78">
        <v>34501</v>
      </c>
      <c r="E185" s="79" t="s">
        <v>407</v>
      </c>
      <c r="F185" s="186">
        <v>664478.76</v>
      </c>
      <c r="G185" s="186">
        <v>-14047</v>
      </c>
      <c r="H185" s="186">
        <f t="shared" si="214"/>
        <v>650431.76</v>
      </c>
      <c r="I185" s="186">
        <v>650431.21</v>
      </c>
      <c r="J185" s="186">
        <v>650431.21</v>
      </c>
      <c r="K185" s="283">
        <f t="shared" si="215"/>
        <v>0.55000000004656613</v>
      </c>
      <c r="M185"/>
      <c r="N185"/>
      <c r="O185"/>
      <c r="P185"/>
      <c r="Q185"/>
    </row>
    <row r="186" spans="1:17" s="66" customFormat="1" x14ac:dyDescent="0.25">
      <c r="A186" s="75"/>
      <c r="B186" s="181">
        <v>35000</v>
      </c>
      <c r="C186" s="182" t="s">
        <v>408</v>
      </c>
      <c r="D186" s="183"/>
      <c r="E186" s="184"/>
      <c r="F186" s="142">
        <f>SUM(F187,F189,F191,F193,F195,F197,F202,F206)</f>
        <v>7320641.2300000004</v>
      </c>
      <c r="G186" s="142">
        <f t="shared" ref="G186" si="263">SUM(G187,G189,G191,G193,G195,G197,G202,G206)</f>
        <v>618786.99999999988</v>
      </c>
      <c r="H186" s="142">
        <f t="shared" ref="H186:K186" si="264">SUM(H187,H189,H191,H193,H195,H197,H202,H206)</f>
        <v>7939428.2300000004</v>
      </c>
      <c r="I186" s="142">
        <f t="shared" ref="I186:J186" si="265">SUM(I187,I189,I191,I193,I195,I197,I202,I206)</f>
        <v>7584048.9000000004</v>
      </c>
      <c r="J186" s="142">
        <f t="shared" si="265"/>
        <v>4970514.26</v>
      </c>
      <c r="K186" s="284">
        <f t="shared" si="264"/>
        <v>355379.32999999978</v>
      </c>
      <c r="M186"/>
      <c r="N186"/>
      <c r="O186"/>
      <c r="P186"/>
      <c r="Q186"/>
    </row>
    <row r="187" spans="1:17" s="66" customFormat="1" x14ac:dyDescent="0.25">
      <c r="A187" s="75"/>
      <c r="B187" s="76"/>
      <c r="C187" s="106">
        <v>35100</v>
      </c>
      <c r="D187" s="179" t="s">
        <v>409</v>
      </c>
      <c r="E187" s="180"/>
      <c r="F187" s="143">
        <f t="shared" ref="F187:G187" si="266">SUM(F188)</f>
        <v>1496761.5</v>
      </c>
      <c r="G187" s="143">
        <f t="shared" si="266"/>
        <v>633868</v>
      </c>
      <c r="H187" s="143">
        <f t="shared" ref="H187:K187" si="267">SUM(H188)</f>
        <v>2130629.5</v>
      </c>
      <c r="I187" s="143">
        <f t="shared" si="267"/>
        <v>2067365.86</v>
      </c>
      <c r="J187" s="143">
        <f t="shared" si="267"/>
        <v>1312345.8</v>
      </c>
      <c r="K187" s="285">
        <f t="shared" si="267"/>
        <v>63263.639999999898</v>
      </c>
      <c r="M187"/>
      <c r="N187"/>
      <c r="O187"/>
      <c r="P187"/>
      <c r="Q187"/>
    </row>
    <row r="188" spans="1:17" s="66" customFormat="1" ht="30" x14ac:dyDescent="0.25">
      <c r="A188" s="75"/>
      <c r="B188" s="77"/>
      <c r="C188" s="76"/>
      <c r="D188" s="78">
        <v>35101</v>
      </c>
      <c r="E188" s="79" t="s">
        <v>535</v>
      </c>
      <c r="F188" s="186">
        <v>1496761.5</v>
      </c>
      <c r="G188" s="186">
        <v>633868</v>
      </c>
      <c r="H188" s="186">
        <f t="shared" si="214"/>
        <v>2130629.5</v>
      </c>
      <c r="I188" s="186">
        <v>2067365.86</v>
      </c>
      <c r="J188" s="186">
        <f>2067365.86-755020.06</f>
        <v>1312345.8</v>
      </c>
      <c r="K188" s="283">
        <f t="shared" si="215"/>
        <v>63263.639999999898</v>
      </c>
      <c r="M188"/>
      <c r="N188"/>
      <c r="O188"/>
      <c r="P188"/>
      <c r="Q188"/>
    </row>
    <row r="189" spans="1:17" s="66" customFormat="1" x14ac:dyDescent="0.25">
      <c r="A189" s="75"/>
      <c r="B189" s="76"/>
      <c r="C189" s="106">
        <v>35200</v>
      </c>
      <c r="D189" s="179" t="s">
        <v>410</v>
      </c>
      <c r="E189" s="180"/>
      <c r="F189" s="143">
        <f t="shared" ref="F189" si="268">SUM(F190)</f>
        <v>76670.64</v>
      </c>
      <c r="G189" s="143">
        <f t="shared" ref="G189" si="269">SUM(G190)</f>
        <v>34000</v>
      </c>
      <c r="H189" s="143">
        <f t="shared" ref="H189:K189" si="270">SUM(H190)</f>
        <v>110670.64</v>
      </c>
      <c r="I189" s="143">
        <f t="shared" si="270"/>
        <v>87006.720000000001</v>
      </c>
      <c r="J189" s="143">
        <f t="shared" si="270"/>
        <v>53982.96</v>
      </c>
      <c r="K189" s="285">
        <f t="shared" si="270"/>
        <v>23663.919999999998</v>
      </c>
      <c r="M189"/>
      <c r="N189"/>
      <c r="O189"/>
      <c r="P189"/>
      <c r="Q189"/>
    </row>
    <row r="190" spans="1:17" s="66" customFormat="1" ht="45" x14ac:dyDescent="0.25">
      <c r="A190" s="75"/>
      <c r="B190" s="77"/>
      <c r="C190" s="76"/>
      <c r="D190" s="78">
        <v>35201</v>
      </c>
      <c r="E190" s="79" t="s">
        <v>411</v>
      </c>
      <c r="F190" s="186">
        <v>76670.64</v>
      </c>
      <c r="G190" s="186">
        <v>34000</v>
      </c>
      <c r="H190" s="186">
        <f t="shared" si="214"/>
        <v>110670.64</v>
      </c>
      <c r="I190" s="186">
        <v>87006.720000000001</v>
      </c>
      <c r="J190" s="186">
        <f>87006.72-33023.76</f>
        <v>53982.96</v>
      </c>
      <c r="K190" s="283">
        <f t="shared" si="215"/>
        <v>23663.919999999998</v>
      </c>
      <c r="M190"/>
      <c r="N190"/>
      <c r="O190"/>
      <c r="P190"/>
      <c r="Q190"/>
    </row>
    <row r="191" spans="1:17" s="66" customFormat="1" x14ac:dyDescent="0.25">
      <c r="A191" s="75"/>
      <c r="B191" s="76"/>
      <c r="C191" s="106">
        <v>35300</v>
      </c>
      <c r="D191" s="179" t="s">
        <v>412</v>
      </c>
      <c r="E191" s="180"/>
      <c r="F191" s="143">
        <f t="shared" ref="F191" si="271">SUM(F192)</f>
        <v>941033.76</v>
      </c>
      <c r="G191" s="143">
        <f t="shared" ref="G191" si="272">SUM(G192)</f>
        <v>-327000</v>
      </c>
      <c r="H191" s="143">
        <f t="shared" ref="H191:K191" si="273">SUM(H192)</f>
        <v>614033.76</v>
      </c>
      <c r="I191" s="143">
        <f t="shared" si="273"/>
        <v>613437.48</v>
      </c>
      <c r="J191" s="143">
        <f t="shared" si="273"/>
        <v>283437.48</v>
      </c>
      <c r="K191" s="285">
        <f t="shared" si="273"/>
        <v>596.28000000002794</v>
      </c>
      <c r="M191"/>
      <c r="N191"/>
      <c r="O191"/>
      <c r="P191"/>
      <c r="Q191"/>
    </row>
    <row r="192" spans="1:17" s="66" customFormat="1" ht="45" x14ac:dyDescent="0.25">
      <c r="A192" s="75"/>
      <c r="B192" s="77"/>
      <c r="C192" s="76"/>
      <c r="D192" s="78">
        <v>35301</v>
      </c>
      <c r="E192" s="79" t="s">
        <v>412</v>
      </c>
      <c r="F192" s="186">
        <v>941033.76</v>
      </c>
      <c r="G192" s="186">
        <v>-327000</v>
      </c>
      <c r="H192" s="186">
        <f t="shared" si="214"/>
        <v>614033.76</v>
      </c>
      <c r="I192" s="186">
        <v>613437.48</v>
      </c>
      <c r="J192" s="186">
        <f>613437.48-330000</f>
        <v>283437.48</v>
      </c>
      <c r="K192" s="283">
        <f t="shared" si="215"/>
        <v>596.28000000002794</v>
      </c>
      <c r="M192"/>
      <c r="N192"/>
      <c r="O192"/>
      <c r="P192"/>
      <c r="Q192"/>
    </row>
    <row r="193" spans="1:17" s="66" customFormat="1" x14ac:dyDescent="0.25">
      <c r="A193" s="75"/>
      <c r="B193" s="76"/>
      <c r="C193" s="106">
        <v>35400</v>
      </c>
      <c r="D193" s="179" t="s">
        <v>413</v>
      </c>
      <c r="E193" s="180"/>
      <c r="F193" s="143">
        <f t="shared" ref="F193:G193" si="274">SUM(F194)</f>
        <v>71559.240000000005</v>
      </c>
      <c r="G193" s="143">
        <f t="shared" si="274"/>
        <v>-40000</v>
      </c>
      <c r="H193" s="143">
        <f t="shared" ref="H193:K193" si="275">SUM(H194)</f>
        <v>31559.240000000005</v>
      </c>
      <c r="I193" s="143">
        <f t="shared" si="275"/>
        <v>0</v>
      </c>
      <c r="J193" s="143">
        <f t="shared" si="275"/>
        <v>0</v>
      </c>
      <c r="K193" s="285">
        <f t="shared" si="275"/>
        <v>31559.240000000005</v>
      </c>
      <c r="M193"/>
      <c r="N193"/>
      <c r="O193"/>
      <c r="P193"/>
      <c r="Q193"/>
    </row>
    <row r="194" spans="1:17" s="66" customFormat="1" ht="45" x14ac:dyDescent="0.25">
      <c r="A194" s="75"/>
      <c r="B194" s="77"/>
      <c r="C194" s="76"/>
      <c r="D194" s="78">
        <v>35401</v>
      </c>
      <c r="E194" s="79" t="s">
        <v>413</v>
      </c>
      <c r="F194" s="186">
        <v>71559.240000000005</v>
      </c>
      <c r="G194" s="186">
        <v>-40000</v>
      </c>
      <c r="H194" s="186">
        <f t="shared" si="214"/>
        <v>31559.240000000005</v>
      </c>
      <c r="I194" s="186">
        <v>0</v>
      </c>
      <c r="J194" s="186">
        <v>0</v>
      </c>
      <c r="K194" s="283">
        <f t="shared" si="215"/>
        <v>31559.240000000005</v>
      </c>
      <c r="M194"/>
      <c r="N194"/>
      <c r="O194"/>
      <c r="P194"/>
      <c r="Q194"/>
    </row>
    <row r="195" spans="1:17" s="66" customFormat="1" x14ac:dyDescent="0.25">
      <c r="A195" s="75"/>
      <c r="B195" s="76"/>
      <c r="C195" s="106">
        <v>35500</v>
      </c>
      <c r="D195" s="179" t="s">
        <v>414</v>
      </c>
      <c r="E195" s="180"/>
      <c r="F195" s="143">
        <f t="shared" ref="F195:G195" si="276">SUM(F196)</f>
        <v>339399</v>
      </c>
      <c r="G195" s="143">
        <f t="shared" si="276"/>
        <v>50500.92</v>
      </c>
      <c r="H195" s="143">
        <f t="shared" ref="H195:K195" si="277">SUM(H196)</f>
        <v>389899.92</v>
      </c>
      <c r="I195" s="143">
        <f t="shared" si="277"/>
        <v>384470.66</v>
      </c>
      <c r="J195" s="143">
        <f t="shared" si="277"/>
        <v>334748.77999999997</v>
      </c>
      <c r="K195" s="285">
        <f t="shared" si="277"/>
        <v>5429.2600000000093</v>
      </c>
      <c r="M195"/>
      <c r="N195"/>
      <c r="O195"/>
      <c r="P195"/>
      <c r="Q195"/>
    </row>
    <row r="196" spans="1:17" s="66" customFormat="1" ht="30" x14ac:dyDescent="0.25">
      <c r="A196" s="75"/>
      <c r="B196" s="77"/>
      <c r="C196" s="76"/>
      <c r="D196" s="78">
        <v>35501</v>
      </c>
      <c r="E196" s="79" t="s">
        <v>414</v>
      </c>
      <c r="F196" s="186">
        <v>339399</v>
      </c>
      <c r="G196" s="186">
        <v>50500.92</v>
      </c>
      <c r="H196" s="186">
        <f t="shared" si="214"/>
        <v>389899.92</v>
      </c>
      <c r="I196" s="186">
        <v>384470.66</v>
      </c>
      <c r="J196" s="186">
        <f>384470.66-49721.88</f>
        <v>334748.77999999997</v>
      </c>
      <c r="K196" s="283">
        <f t="shared" si="215"/>
        <v>5429.2600000000093</v>
      </c>
      <c r="M196"/>
      <c r="N196"/>
      <c r="O196"/>
      <c r="P196"/>
      <c r="Q196"/>
    </row>
    <row r="197" spans="1:17" s="66" customFormat="1" x14ac:dyDescent="0.25">
      <c r="A197" s="75"/>
      <c r="B197" s="76"/>
      <c r="C197" s="106">
        <v>35700</v>
      </c>
      <c r="D197" s="179" t="s">
        <v>415</v>
      </c>
      <c r="E197" s="180"/>
      <c r="F197" s="143">
        <f t="shared" ref="F197" si="278">SUM(F198:F201)</f>
        <v>2243628</v>
      </c>
      <c r="G197" s="143">
        <f t="shared" ref="G197" si="279">SUM(G198:G201)</f>
        <v>434090</v>
      </c>
      <c r="H197" s="143">
        <f t="shared" ref="H197:K197" si="280">SUM(H198:H201)</f>
        <v>2677718</v>
      </c>
      <c r="I197" s="143">
        <f t="shared" si="280"/>
        <v>2478933.1</v>
      </c>
      <c r="J197" s="143">
        <f t="shared" ref="J197" si="281">SUM(J198:J201)</f>
        <v>1547640.82</v>
      </c>
      <c r="K197" s="285">
        <f t="shared" si="280"/>
        <v>198784.89999999988</v>
      </c>
      <c r="M197"/>
      <c r="N197"/>
      <c r="O197"/>
      <c r="P197"/>
      <c r="Q197"/>
    </row>
    <row r="198" spans="1:17" s="66" customFormat="1" ht="45" x14ac:dyDescent="0.25">
      <c r="A198" s="75"/>
      <c r="B198" s="77"/>
      <c r="C198" s="76"/>
      <c r="D198" s="78">
        <v>35704</v>
      </c>
      <c r="E198" s="79" t="s">
        <v>536</v>
      </c>
      <c r="F198" s="186">
        <v>1303807.99</v>
      </c>
      <c r="G198" s="186">
        <v>56090</v>
      </c>
      <c r="H198" s="186">
        <f t="shared" si="214"/>
        <v>1359897.99</v>
      </c>
      <c r="I198" s="186">
        <v>1307199.1100000001</v>
      </c>
      <c r="J198" s="186">
        <f>1307199.11-406279.2-15660</f>
        <v>885259.91000000015</v>
      </c>
      <c r="K198" s="283">
        <f t="shared" si="215"/>
        <v>52698.879999999888</v>
      </c>
      <c r="M198"/>
      <c r="N198"/>
      <c r="O198"/>
      <c r="P198"/>
      <c r="Q198"/>
    </row>
    <row r="199" spans="1:17" s="66" customFormat="1" ht="45" x14ac:dyDescent="0.25">
      <c r="A199" s="75"/>
      <c r="B199" s="77"/>
      <c r="C199" s="76"/>
      <c r="D199" s="78">
        <v>35705</v>
      </c>
      <c r="E199" s="79" t="s">
        <v>416</v>
      </c>
      <c r="F199" s="186">
        <v>64888.97</v>
      </c>
      <c r="G199" s="186">
        <v>-40000</v>
      </c>
      <c r="H199" s="186">
        <f t="shared" si="214"/>
        <v>24888.97</v>
      </c>
      <c r="I199" s="186">
        <v>5184</v>
      </c>
      <c r="J199" s="186">
        <v>5184</v>
      </c>
      <c r="K199" s="283">
        <f t="shared" si="215"/>
        <v>19704.97</v>
      </c>
      <c r="M199"/>
      <c r="N199"/>
      <c r="O199"/>
      <c r="P199"/>
      <c r="Q199"/>
    </row>
    <row r="200" spans="1:17" s="66" customFormat="1" ht="45" x14ac:dyDescent="0.25">
      <c r="A200" s="75"/>
      <c r="B200" s="77"/>
      <c r="C200" s="76"/>
      <c r="D200" s="78">
        <v>35706</v>
      </c>
      <c r="E200" s="79" t="s">
        <v>417</v>
      </c>
      <c r="F200" s="186">
        <v>793149</v>
      </c>
      <c r="G200" s="186">
        <v>50000</v>
      </c>
      <c r="H200" s="186">
        <f t="shared" si="214"/>
        <v>843149</v>
      </c>
      <c r="I200" s="186">
        <v>800585.09</v>
      </c>
      <c r="J200" s="186">
        <f>800585.09-453458.88</f>
        <v>347126.20999999996</v>
      </c>
      <c r="K200" s="283">
        <f t="shared" si="215"/>
        <v>42563.910000000033</v>
      </c>
      <c r="M200"/>
      <c r="N200"/>
      <c r="O200"/>
      <c r="P200"/>
      <c r="Q200"/>
    </row>
    <row r="201" spans="1:17" s="66" customFormat="1" ht="30" x14ac:dyDescent="0.25">
      <c r="A201" s="75"/>
      <c r="B201" s="77"/>
      <c r="C201" s="76"/>
      <c r="D201" s="78">
        <v>35708</v>
      </c>
      <c r="E201" s="79" t="s">
        <v>418</v>
      </c>
      <c r="F201" s="186">
        <v>81782.039999999994</v>
      </c>
      <c r="G201" s="186">
        <v>368000</v>
      </c>
      <c r="H201" s="186">
        <f t="shared" si="214"/>
        <v>449782.04</v>
      </c>
      <c r="I201" s="186">
        <v>365964.9</v>
      </c>
      <c r="J201" s="186">
        <f>365964.9-55894.2</f>
        <v>310070.7</v>
      </c>
      <c r="K201" s="283">
        <f t="shared" si="215"/>
        <v>83817.139999999956</v>
      </c>
      <c r="M201"/>
      <c r="N201"/>
      <c r="O201"/>
      <c r="P201"/>
      <c r="Q201"/>
    </row>
    <row r="202" spans="1:17" s="66" customFormat="1" x14ac:dyDescent="0.25">
      <c r="A202" s="75"/>
      <c r="B202" s="76"/>
      <c r="C202" s="106">
        <v>35800</v>
      </c>
      <c r="D202" s="179" t="s">
        <v>419</v>
      </c>
      <c r="E202" s="180"/>
      <c r="F202" s="143">
        <f>SUM(F203:F205)</f>
        <v>1764771.37</v>
      </c>
      <c r="G202" s="143">
        <f t="shared" ref="G202" si="282">SUM(G203:G205)</f>
        <v>-31671.920000000013</v>
      </c>
      <c r="H202" s="143">
        <f t="shared" ref="H202:K202" si="283">SUM(H203:H205)</f>
        <v>1733099.45</v>
      </c>
      <c r="I202" s="143">
        <f t="shared" si="283"/>
        <v>1714043.48</v>
      </c>
      <c r="J202" s="143">
        <f t="shared" ref="J202" si="284">SUM(J203:J205)</f>
        <v>1409193.62</v>
      </c>
      <c r="K202" s="285">
        <f t="shared" si="283"/>
        <v>19055.969999999972</v>
      </c>
      <c r="M202"/>
      <c r="N202"/>
      <c r="O202"/>
      <c r="P202"/>
      <c r="Q202"/>
    </row>
    <row r="203" spans="1:17" s="66" customFormat="1" x14ac:dyDescent="0.25">
      <c r="A203" s="75"/>
      <c r="B203" s="77"/>
      <c r="C203" s="76"/>
      <c r="D203" s="78">
        <v>35801</v>
      </c>
      <c r="E203" s="79" t="s">
        <v>420</v>
      </c>
      <c r="F203" s="186">
        <v>743850.6</v>
      </c>
      <c r="G203" s="186">
        <v>-205671.92</v>
      </c>
      <c r="H203" s="186">
        <f t="shared" si="214"/>
        <v>538178.67999999993</v>
      </c>
      <c r="I203" s="186">
        <v>538178.68000000005</v>
      </c>
      <c r="J203" s="186">
        <f>538178.68-120813</f>
        <v>417365.68000000005</v>
      </c>
      <c r="K203" s="283">
        <f t="shared" si="215"/>
        <v>0</v>
      </c>
      <c r="M203"/>
      <c r="N203"/>
      <c r="O203"/>
      <c r="P203"/>
      <c r="Q203"/>
    </row>
    <row r="204" spans="1:17" s="66" customFormat="1" x14ac:dyDescent="0.25">
      <c r="A204" s="75"/>
      <c r="B204" s="77"/>
      <c r="C204" s="76"/>
      <c r="D204" s="78">
        <v>35802</v>
      </c>
      <c r="E204" s="79" t="s">
        <v>537</v>
      </c>
      <c r="F204" s="186"/>
      <c r="G204" s="186"/>
      <c r="H204" s="186">
        <f t="shared" si="214"/>
        <v>0</v>
      </c>
      <c r="I204" s="186">
        <v>0</v>
      </c>
      <c r="J204" s="186">
        <v>0</v>
      </c>
      <c r="K204" s="283">
        <f t="shared" si="215"/>
        <v>0</v>
      </c>
      <c r="M204"/>
      <c r="N204"/>
      <c r="O204"/>
      <c r="P204"/>
      <c r="Q204"/>
    </row>
    <row r="205" spans="1:17" s="66" customFormat="1" ht="30" x14ac:dyDescent="0.25">
      <c r="A205" s="75"/>
      <c r="B205" s="77"/>
      <c r="C205" s="76"/>
      <c r="D205" s="78">
        <v>35804</v>
      </c>
      <c r="E205" s="79" t="s">
        <v>421</v>
      </c>
      <c r="F205" s="186">
        <v>1020920.77</v>
      </c>
      <c r="G205" s="186">
        <v>174000</v>
      </c>
      <c r="H205" s="186">
        <f t="shared" si="214"/>
        <v>1194920.77</v>
      </c>
      <c r="I205" s="186">
        <v>1175864.8</v>
      </c>
      <c r="J205" s="186">
        <f>1175864.8-184036.86</f>
        <v>991827.94000000006</v>
      </c>
      <c r="K205" s="283">
        <f t="shared" si="215"/>
        <v>19055.969999999972</v>
      </c>
      <c r="M205"/>
      <c r="N205"/>
      <c r="O205"/>
      <c r="P205"/>
      <c r="Q205"/>
    </row>
    <row r="206" spans="1:17" s="66" customFormat="1" x14ac:dyDescent="0.25">
      <c r="A206" s="75"/>
      <c r="B206" s="76"/>
      <c r="C206" s="106">
        <v>35900</v>
      </c>
      <c r="D206" s="179" t="s">
        <v>422</v>
      </c>
      <c r="E206" s="180"/>
      <c r="F206" s="143">
        <f t="shared" ref="F206" si="285">SUM(F207:F208)</f>
        <v>386817.72000000003</v>
      </c>
      <c r="G206" s="143">
        <f t="shared" ref="G206" si="286">SUM(G207:G208)</f>
        <v>-135000</v>
      </c>
      <c r="H206" s="143">
        <f t="shared" ref="H206:K206" si="287">SUM(H207:H208)</f>
        <v>251817.72</v>
      </c>
      <c r="I206" s="143">
        <f t="shared" si="287"/>
        <v>238791.6</v>
      </c>
      <c r="J206" s="143">
        <f t="shared" ref="J206" si="288">SUM(J207:J208)</f>
        <v>29164.800000000003</v>
      </c>
      <c r="K206" s="285">
        <f t="shared" si="287"/>
        <v>13026.119999999995</v>
      </c>
      <c r="M206"/>
      <c r="N206"/>
      <c r="O206"/>
      <c r="P206"/>
      <c r="Q206"/>
    </row>
    <row r="207" spans="1:17" s="66" customFormat="1" x14ac:dyDescent="0.25">
      <c r="A207" s="75"/>
      <c r="B207" s="77"/>
      <c r="C207" s="76"/>
      <c r="D207" s="78">
        <v>35901</v>
      </c>
      <c r="E207" s="79" t="s">
        <v>423</v>
      </c>
      <c r="F207" s="186">
        <v>63821.4</v>
      </c>
      <c r="G207" s="186">
        <v>55000</v>
      </c>
      <c r="H207" s="186">
        <f t="shared" si="214"/>
        <v>118821.4</v>
      </c>
      <c r="I207" s="186">
        <v>118512</v>
      </c>
      <c r="J207" s="186">
        <f>118512-118512</f>
        <v>0</v>
      </c>
      <c r="K207" s="283">
        <f t="shared" si="215"/>
        <v>309.39999999999418</v>
      </c>
      <c r="M207"/>
      <c r="N207"/>
      <c r="O207"/>
      <c r="P207"/>
      <c r="Q207"/>
    </row>
    <row r="208" spans="1:17" s="66" customFormat="1" x14ac:dyDescent="0.25">
      <c r="A208" s="75"/>
      <c r="B208" s="77"/>
      <c r="C208" s="76"/>
      <c r="D208" s="78">
        <v>35902</v>
      </c>
      <c r="E208" s="79" t="s">
        <v>424</v>
      </c>
      <c r="F208" s="186">
        <v>322996.32</v>
      </c>
      <c r="G208" s="186">
        <v>-190000</v>
      </c>
      <c r="H208" s="186">
        <f t="shared" si="214"/>
        <v>132996.32</v>
      </c>
      <c r="I208" s="186">
        <v>120279.6</v>
      </c>
      <c r="J208" s="186">
        <f>120279.6-91114.8</f>
        <v>29164.800000000003</v>
      </c>
      <c r="K208" s="283">
        <f t="shared" si="215"/>
        <v>12716.720000000001</v>
      </c>
      <c r="M208"/>
      <c r="N208"/>
      <c r="O208"/>
      <c r="P208"/>
      <c r="Q208"/>
    </row>
    <row r="209" spans="1:17" s="66" customFormat="1" x14ac:dyDescent="0.25">
      <c r="A209" s="75"/>
      <c r="B209" s="181">
        <v>36000</v>
      </c>
      <c r="C209" s="182" t="s">
        <v>425</v>
      </c>
      <c r="D209" s="183"/>
      <c r="E209" s="184"/>
      <c r="F209" s="142">
        <f t="shared" ref="F209:F210" si="289">SUM(F210)</f>
        <v>112768.52</v>
      </c>
      <c r="G209" s="142">
        <f t="shared" ref="G209:G210" si="290">SUM(G210)</f>
        <v>0</v>
      </c>
      <c r="H209" s="142">
        <f t="shared" ref="H209:K210" si="291">SUM(H210)</f>
        <v>112768.52</v>
      </c>
      <c r="I209" s="142">
        <f t="shared" si="291"/>
        <v>0</v>
      </c>
      <c r="J209" s="142">
        <f t="shared" si="291"/>
        <v>0</v>
      </c>
      <c r="K209" s="284">
        <f t="shared" si="291"/>
        <v>112768.52</v>
      </c>
      <c r="M209"/>
      <c r="N209"/>
      <c r="O209"/>
      <c r="P209"/>
      <c r="Q209"/>
    </row>
    <row r="210" spans="1:17" s="66" customFormat="1" x14ac:dyDescent="0.25">
      <c r="A210" s="75"/>
      <c r="B210" s="76"/>
      <c r="C210" s="106">
        <v>36100</v>
      </c>
      <c r="D210" s="179" t="s">
        <v>426</v>
      </c>
      <c r="E210" s="180"/>
      <c r="F210" s="143">
        <f t="shared" si="289"/>
        <v>112768.52</v>
      </c>
      <c r="G210" s="143">
        <f t="shared" si="290"/>
        <v>0</v>
      </c>
      <c r="H210" s="143">
        <f t="shared" si="291"/>
        <v>112768.52</v>
      </c>
      <c r="I210" s="143">
        <f t="shared" si="291"/>
        <v>0</v>
      </c>
      <c r="J210" s="143">
        <f t="shared" si="291"/>
        <v>0</v>
      </c>
      <c r="K210" s="285">
        <f t="shared" si="291"/>
        <v>112768.52</v>
      </c>
      <c r="M210"/>
      <c r="N210"/>
      <c r="O210"/>
      <c r="P210"/>
      <c r="Q210"/>
    </row>
    <row r="211" spans="1:17" s="66" customFormat="1" x14ac:dyDescent="0.25">
      <c r="A211" s="75"/>
      <c r="B211" s="77"/>
      <c r="C211" s="76"/>
      <c r="D211" s="78">
        <v>36101</v>
      </c>
      <c r="E211" s="79" t="s">
        <v>427</v>
      </c>
      <c r="F211" s="186">
        <v>112768.52</v>
      </c>
      <c r="G211" s="186"/>
      <c r="H211" s="186">
        <f>F211+G211</f>
        <v>112768.52</v>
      </c>
      <c r="I211" s="186">
        <v>0</v>
      </c>
      <c r="J211" s="186">
        <v>0</v>
      </c>
      <c r="K211" s="283">
        <f>H211-I211</f>
        <v>112768.52</v>
      </c>
      <c r="M211"/>
      <c r="N211"/>
      <c r="O211"/>
      <c r="P211"/>
      <c r="Q211"/>
    </row>
    <row r="212" spans="1:17" s="66" customFormat="1" x14ac:dyDescent="0.25">
      <c r="A212" s="75"/>
      <c r="B212" s="181">
        <v>37000</v>
      </c>
      <c r="C212" s="182" t="s">
        <v>428</v>
      </c>
      <c r="D212" s="183"/>
      <c r="E212" s="184"/>
      <c r="F212" s="142">
        <f t="shared" ref="F212:K212" si="292">SUM(F213,F215,F218,F221,F224)</f>
        <v>861288.2</v>
      </c>
      <c r="G212" s="142">
        <f t="shared" si="292"/>
        <v>-35000</v>
      </c>
      <c r="H212" s="142">
        <f t="shared" si="292"/>
        <v>826288.2</v>
      </c>
      <c r="I212" s="142">
        <f t="shared" ref="I212:J212" si="293">SUM(I213,I215,I218,I221,I224)</f>
        <v>727948.77</v>
      </c>
      <c r="J212" s="142">
        <f t="shared" si="293"/>
        <v>726348.77</v>
      </c>
      <c r="K212" s="284">
        <f t="shared" si="292"/>
        <v>98339.429999999964</v>
      </c>
      <c r="M212"/>
      <c r="N212"/>
      <c r="O212"/>
      <c r="P212"/>
      <c r="Q212"/>
    </row>
    <row r="213" spans="1:17" s="66" customFormat="1" x14ac:dyDescent="0.25">
      <c r="A213" s="75"/>
      <c r="B213" s="76"/>
      <c r="C213" s="106">
        <v>37100</v>
      </c>
      <c r="D213" s="179" t="s">
        <v>429</v>
      </c>
      <c r="E213" s="180"/>
      <c r="F213" s="143">
        <f t="shared" ref="F213:G213" si="294">SUM(F214)</f>
        <v>164143</v>
      </c>
      <c r="G213" s="143">
        <f t="shared" si="294"/>
        <v>0</v>
      </c>
      <c r="H213" s="143">
        <f t="shared" ref="H213:K213" si="295">SUM(H214)</f>
        <v>164143</v>
      </c>
      <c r="I213" s="143">
        <f t="shared" si="295"/>
        <v>78573.14</v>
      </c>
      <c r="J213" s="143">
        <f t="shared" si="295"/>
        <v>78573.14</v>
      </c>
      <c r="K213" s="285">
        <f t="shared" si="295"/>
        <v>85569.86</v>
      </c>
      <c r="M213"/>
      <c r="N213"/>
      <c r="O213"/>
      <c r="P213"/>
      <c r="Q213"/>
    </row>
    <row r="214" spans="1:17" s="66" customFormat="1" x14ac:dyDescent="0.25">
      <c r="A214" s="75"/>
      <c r="B214" s="77"/>
      <c r="C214" s="76"/>
      <c r="D214" s="78">
        <v>37101</v>
      </c>
      <c r="E214" s="79" t="s">
        <v>429</v>
      </c>
      <c r="F214" s="186">
        <v>164143</v>
      </c>
      <c r="G214" s="186"/>
      <c r="H214" s="186">
        <f>F214+G214</f>
        <v>164143</v>
      </c>
      <c r="I214" s="186">
        <v>78573.14</v>
      </c>
      <c r="J214" s="186">
        <v>78573.14</v>
      </c>
      <c r="K214" s="283">
        <f>H214-I214</f>
        <v>85569.86</v>
      </c>
      <c r="M214"/>
      <c r="N214"/>
      <c r="O214"/>
      <c r="P214"/>
      <c r="Q214"/>
    </row>
    <row r="215" spans="1:17" s="66" customFormat="1" x14ac:dyDescent="0.25">
      <c r="A215" s="75"/>
      <c r="B215" s="76"/>
      <c r="C215" s="106">
        <v>37200</v>
      </c>
      <c r="D215" s="179" t="s">
        <v>430</v>
      </c>
      <c r="E215" s="180"/>
      <c r="F215" s="143">
        <f>SUM(F216:F216)</f>
        <v>2333</v>
      </c>
      <c r="G215" s="143">
        <f t="shared" ref="G215" si="296">SUM(G216:G217)</f>
        <v>0</v>
      </c>
      <c r="H215" s="143">
        <f t="shared" ref="H215:K215" si="297">SUM(H216:H217)</f>
        <v>2333</v>
      </c>
      <c r="I215" s="143">
        <f t="shared" si="297"/>
        <v>1460</v>
      </c>
      <c r="J215" s="143">
        <f t="shared" ref="J215" si="298">SUM(J216:J217)</f>
        <v>1460</v>
      </c>
      <c r="K215" s="285">
        <f t="shared" si="297"/>
        <v>873</v>
      </c>
      <c r="M215"/>
      <c r="N215"/>
      <c r="O215"/>
      <c r="P215"/>
      <c r="Q215"/>
    </row>
    <row r="216" spans="1:17" s="66" customFormat="1" x14ac:dyDescent="0.25">
      <c r="A216" s="75"/>
      <c r="B216" s="77"/>
      <c r="C216" s="76"/>
      <c r="D216" s="78">
        <v>37201</v>
      </c>
      <c r="E216" s="79" t="s">
        <v>430</v>
      </c>
      <c r="F216" s="186">
        <v>2333</v>
      </c>
      <c r="G216" s="186"/>
      <c r="H216" s="186">
        <f>F216+G216</f>
        <v>2333</v>
      </c>
      <c r="I216" s="186">
        <v>1460</v>
      </c>
      <c r="J216" s="186">
        <v>1460</v>
      </c>
      <c r="K216" s="283">
        <f>H216-I216</f>
        <v>873</v>
      </c>
      <c r="M216"/>
      <c r="N216"/>
      <c r="O216"/>
      <c r="P216"/>
      <c r="Q216"/>
    </row>
    <row r="217" spans="1:17" s="66" customFormat="1" x14ac:dyDescent="0.25">
      <c r="A217" s="75"/>
      <c r="B217" s="77"/>
      <c r="C217" s="76"/>
      <c r="D217" s="78">
        <v>37202</v>
      </c>
      <c r="E217" s="79" t="s">
        <v>431</v>
      </c>
      <c r="F217" s="186"/>
      <c r="G217" s="186"/>
      <c r="H217" s="186">
        <f>F217+G217</f>
        <v>0</v>
      </c>
      <c r="I217" s="186">
        <v>0</v>
      </c>
      <c r="J217" s="186">
        <v>0</v>
      </c>
      <c r="K217" s="283">
        <f>H217-I217</f>
        <v>0</v>
      </c>
      <c r="M217"/>
      <c r="N217"/>
      <c r="O217"/>
      <c r="P217"/>
      <c r="Q217"/>
    </row>
    <row r="218" spans="1:17" s="66" customFormat="1" x14ac:dyDescent="0.25">
      <c r="A218" s="75"/>
      <c r="B218" s="76"/>
      <c r="C218" s="106">
        <v>37500</v>
      </c>
      <c r="D218" s="179" t="s">
        <v>432</v>
      </c>
      <c r="E218" s="180"/>
      <c r="F218" s="143">
        <f t="shared" ref="F218:G218" si="299">SUM(F219:F220)</f>
        <v>593298.49</v>
      </c>
      <c r="G218" s="143">
        <f t="shared" si="299"/>
        <v>0</v>
      </c>
      <c r="H218" s="143">
        <f t="shared" ref="H218:K218" si="300">SUM(H219:H220)</f>
        <v>593298.49</v>
      </c>
      <c r="I218" s="143">
        <f t="shared" si="300"/>
        <v>582238.63</v>
      </c>
      <c r="J218" s="143">
        <f t="shared" ref="J218" si="301">SUM(J219:J220)</f>
        <v>580938.63</v>
      </c>
      <c r="K218" s="285">
        <f t="shared" si="300"/>
        <v>11059.859999999957</v>
      </c>
      <c r="M218"/>
      <c r="N218"/>
      <c r="O218"/>
      <c r="P218"/>
      <c r="Q218"/>
    </row>
    <row r="219" spans="1:17" s="66" customFormat="1" x14ac:dyDescent="0.25">
      <c r="A219" s="75"/>
      <c r="B219" s="77"/>
      <c r="C219" s="76"/>
      <c r="D219" s="78">
        <v>37501</v>
      </c>
      <c r="E219" s="79" t="s">
        <v>432</v>
      </c>
      <c r="F219" s="186">
        <v>438144.49</v>
      </c>
      <c r="G219" s="186"/>
      <c r="H219" s="186">
        <f>F219+G219</f>
        <v>438144.49</v>
      </c>
      <c r="I219" s="186">
        <v>428444.09</v>
      </c>
      <c r="J219" s="186">
        <f>428444.09-1300</f>
        <v>427144.09</v>
      </c>
      <c r="K219" s="283">
        <f>H219-I219</f>
        <v>9700.3999999999651</v>
      </c>
      <c r="M219"/>
      <c r="N219"/>
      <c r="O219"/>
      <c r="P219"/>
      <c r="Q219"/>
    </row>
    <row r="220" spans="1:17" s="66" customFormat="1" x14ac:dyDescent="0.25">
      <c r="A220" s="75"/>
      <c r="B220" s="77"/>
      <c r="C220" s="76"/>
      <c r="D220" s="78">
        <v>37502</v>
      </c>
      <c r="E220" s="79" t="s">
        <v>433</v>
      </c>
      <c r="F220" s="186">
        <v>155154</v>
      </c>
      <c r="G220" s="186"/>
      <c r="H220" s="186">
        <f>F220+G220</f>
        <v>155154</v>
      </c>
      <c r="I220" s="186">
        <v>153794.54</v>
      </c>
      <c r="J220" s="186">
        <v>153794.54</v>
      </c>
      <c r="K220" s="283">
        <f>H220-I220</f>
        <v>1359.4599999999919</v>
      </c>
      <c r="M220"/>
      <c r="N220"/>
      <c r="O220"/>
      <c r="P220"/>
      <c r="Q220"/>
    </row>
    <row r="221" spans="1:17" s="66" customFormat="1" hidden="1" x14ac:dyDescent="0.25">
      <c r="A221" s="75"/>
      <c r="B221" s="76"/>
      <c r="C221" s="106">
        <v>37600</v>
      </c>
      <c r="D221" s="179" t="s">
        <v>434</v>
      </c>
      <c r="E221" s="180"/>
      <c r="F221" s="143">
        <f t="shared" ref="F221:K221" si="302">SUM(F222:F223)</f>
        <v>0</v>
      </c>
      <c r="G221" s="143">
        <f t="shared" si="302"/>
        <v>0</v>
      </c>
      <c r="H221" s="143">
        <f t="shared" si="302"/>
        <v>0</v>
      </c>
      <c r="I221" s="143"/>
      <c r="J221" s="143"/>
      <c r="K221" s="285">
        <f t="shared" si="302"/>
        <v>0</v>
      </c>
      <c r="M221"/>
      <c r="N221"/>
      <c r="O221"/>
      <c r="P221"/>
      <c r="Q221"/>
    </row>
    <row r="222" spans="1:17" s="66" customFormat="1" hidden="1" x14ac:dyDescent="0.25">
      <c r="A222" s="75"/>
      <c r="B222" s="77"/>
      <c r="C222" s="76"/>
      <c r="D222" s="78">
        <v>37601</v>
      </c>
      <c r="E222" s="79" t="s">
        <v>434</v>
      </c>
      <c r="F222" s="186"/>
      <c r="G222" s="186"/>
      <c r="H222" s="186">
        <f>F222+G222</f>
        <v>0</v>
      </c>
      <c r="I222" s="186">
        <v>0</v>
      </c>
      <c r="J222" s="186">
        <v>0</v>
      </c>
      <c r="K222" s="283">
        <f>H222-I222</f>
        <v>0</v>
      </c>
      <c r="M222"/>
      <c r="N222"/>
      <c r="O222"/>
      <c r="P222"/>
      <c r="Q222"/>
    </row>
    <row r="223" spans="1:17" s="66" customFormat="1" hidden="1" x14ac:dyDescent="0.25">
      <c r="A223" s="75"/>
      <c r="B223" s="77"/>
      <c r="C223" s="76"/>
      <c r="D223" s="85">
        <v>37602</v>
      </c>
      <c r="E223" s="84" t="s">
        <v>435</v>
      </c>
      <c r="F223" s="186"/>
      <c r="G223" s="186"/>
      <c r="H223" s="186">
        <f>F223+G223</f>
        <v>0</v>
      </c>
      <c r="I223" s="186">
        <v>0</v>
      </c>
      <c r="J223" s="186">
        <v>0</v>
      </c>
      <c r="K223" s="283">
        <f>H223-I223</f>
        <v>0</v>
      </c>
      <c r="M223"/>
      <c r="N223"/>
      <c r="O223"/>
      <c r="P223"/>
      <c r="Q223"/>
    </row>
    <row r="224" spans="1:17" s="66" customFormat="1" x14ac:dyDescent="0.25">
      <c r="A224" s="75"/>
      <c r="B224" s="76"/>
      <c r="C224" s="106">
        <v>37900</v>
      </c>
      <c r="D224" s="179" t="s">
        <v>436</v>
      </c>
      <c r="E224" s="180"/>
      <c r="F224" s="143">
        <f t="shared" ref="F224:K224" si="303">SUM(F225:F226)</f>
        <v>101513.71</v>
      </c>
      <c r="G224" s="143">
        <f t="shared" si="303"/>
        <v>-35000</v>
      </c>
      <c r="H224" s="143">
        <f t="shared" si="303"/>
        <v>66513.710000000006</v>
      </c>
      <c r="I224" s="143">
        <f t="shared" si="303"/>
        <v>65677</v>
      </c>
      <c r="J224" s="143">
        <f t="shared" ref="J224" si="304">SUM(J225:J226)</f>
        <v>65377</v>
      </c>
      <c r="K224" s="285">
        <f t="shared" si="303"/>
        <v>836.7100000000064</v>
      </c>
      <c r="M224"/>
      <c r="N224"/>
      <c r="O224"/>
      <c r="P224"/>
      <c r="Q224"/>
    </row>
    <row r="225" spans="1:17" s="66" customFormat="1" x14ac:dyDescent="0.25">
      <c r="A225" s="75"/>
      <c r="B225" s="77"/>
      <c r="C225" s="76"/>
      <c r="D225" s="78">
        <v>37902</v>
      </c>
      <c r="E225" s="79" t="s">
        <v>437</v>
      </c>
      <c r="F225" s="186">
        <v>101513.71</v>
      </c>
      <c r="G225" s="186">
        <v>-35000</v>
      </c>
      <c r="H225" s="186">
        <f>F225+G225</f>
        <v>66513.710000000006</v>
      </c>
      <c r="I225" s="186">
        <v>65677</v>
      </c>
      <c r="J225" s="186">
        <f>65677-300</f>
        <v>65377</v>
      </c>
      <c r="K225" s="283">
        <f>H225-I225</f>
        <v>836.7100000000064</v>
      </c>
      <c r="M225"/>
      <c r="N225"/>
      <c r="O225"/>
      <c r="P225"/>
      <c r="Q225"/>
    </row>
    <row r="226" spans="1:17" s="66" customFormat="1" x14ac:dyDescent="0.25">
      <c r="A226" s="75"/>
      <c r="B226" s="77"/>
      <c r="C226" s="76"/>
      <c r="D226" s="78">
        <v>37903</v>
      </c>
      <c r="E226" s="79" t="s">
        <v>438</v>
      </c>
      <c r="F226" s="186"/>
      <c r="G226" s="186"/>
      <c r="H226" s="186">
        <f>F226+G226</f>
        <v>0</v>
      </c>
      <c r="I226" s="186">
        <v>0</v>
      </c>
      <c r="J226" s="186">
        <v>0</v>
      </c>
      <c r="K226" s="283">
        <f>H226-I226</f>
        <v>0</v>
      </c>
      <c r="M226"/>
      <c r="N226"/>
      <c r="O226"/>
      <c r="P226"/>
      <c r="Q226"/>
    </row>
    <row r="227" spans="1:17" s="66" customFormat="1" x14ac:dyDescent="0.25">
      <c r="A227" s="75"/>
      <c r="B227" s="181">
        <v>38000</v>
      </c>
      <c r="C227" s="182" t="s">
        <v>439</v>
      </c>
      <c r="D227" s="183"/>
      <c r="E227" s="184"/>
      <c r="F227" s="142">
        <f t="shared" ref="F227:G227" si="305">SUM(F228)</f>
        <v>479578.3</v>
      </c>
      <c r="G227" s="142">
        <f t="shared" si="305"/>
        <v>0</v>
      </c>
      <c r="H227" s="142">
        <f t="shared" ref="H227:K227" si="306">SUM(H228)</f>
        <v>479578.3</v>
      </c>
      <c r="I227" s="142">
        <f t="shared" si="306"/>
        <v>475005.98</v>
      </c>
      <c r="J227" s="142">
        <f t="shared" si="306"/>
        <v>462437.98</v>
      </c>
      <c r="K227" s="284">
        <f t="shared" si="306"/>
        <v>4572.320000000007</v>
      </c>
      <c r="M227"/>
      <c r="N227"/>
      <c r="O227"/>
      <c r="P227"/>
      <c r="Q227"/>
    </row>
    <row r="228" spans="1:17" s="66" customFormat="1" x14ac:dyDescent="0.25">
      <c r="A228" s="75"/>
      <c r="B228" s="76"/>
      <c r="C228" s="106">
        <v>38500</v>
      </c>
      <c r="D228" s="179" t="s">
        <v>440</v>
      </c>
      <c r="E228" s="180"/>
      <c r="F228" s="143">
        <f>SUM(F229:F229)</f>
        <v>479578.3</v>
      </c>
      <c r="G228" s="143">
        <f t="shared" ref="G228" si="307">SUM(G229:G230)</f>
        <v>0</v>
      </c>
      <c r="H228" s="143">
        <f t="shared" ref="H228:K228" si="308">SUM(H229:H230)</f>
        <v>479578.3</v>
      </c>
      <c r="I228" s="143">
        <f t="shared" ref="I228:J228" si="309">SUM(I229:I230)</f>
        <v>475005.98</v>
      </c>
      <c r="J228" s="143">
        <f t="shared" si="309"/>
        <v>462437.98</v>
      </c>
      <c r="K228" s="285">
        <f t="shared" si="308"/>
        <v>4572.320000000007</v>
      </c>
      <c r="M228"/>
      <c r="N228"/>
      <c r="O228"/>
      <c r="P228"/>
      <c r="Q228"/>
    </row>
    <row r="229" spans="1:17" s="66" customFormat="1" x14ac:dyDescent="0.25">
      <c r="A229" s="75"/>
      <c r="B229" s="77"/>
      <c r="C229" s="76"/>
      <c r="D229" s="78">
        <v>38501</v>
      </c>
      <c r="E229" s="79" t="s">
        <v>441</v>
      </c>
      <c r="F229" s="186">
        <v>479578.3</v>
      </c>
      <c r="G229" s="186"/>
      <c r="H229" s="186">
        <f>F229+G229</f>
        <v>479578.3</v>
      </c>
      <c r="I229" s="186">
        <v>475005.98</v>
      </c>
      <c r="J229" s="186">
        <f>475005.98-12568</f>
        <v>462437.98</v>
      </c>
      <c r="K229" s="283">
        <f>H229-I229</f>
        <v>4572.320000000007</v>
      </c>
      <c r="M229"/>
      <c r="N229"/>
      <c r="O229"/>
      <c r="P229"/>
      <c r="Q229"/>
    </row>
    <row r="230" spans="1:17" s="66" customFormat="1" hidden="1" x14ac:dyDescent="0.25">
      <c r="A230" s="75"/>
      <c r="B230" s="77"/>
      <c r="C230" s="76"/>
      <c r="D230" s="78">
        <v>38503</v>
      </c>
      <c r="E230" s="79" t="s">
        <v>440</v>
      </c>
      <c r="F230" s="186"/>
      <c r="G230" s="186"/>
      <c r="H230" s="186">
        <f>F230+G230</f>
        <v>0</v>
      </c>
      <c r="I230" s="186">
        <v>0</v>
      </c>
      <c r="J230" s="186">
        <v>0</v>
      </c>
      <c r="K230" s="283">
        <f>H230-I230</f>
        <v>0</v>
      </c>
      <c r="M230"/>
      <c r="N230"/>
      <c r="O230"/>
      <c r="P230"/>
      <c r="Q230"/>
    </row>
    <row r="231" spans="1:17" s="66" customFormat="1" hidden="1" x14ac:dyDescent="0.25">
      <c r="A231" s="75"/>
      <c r="B231" s="181">
        <v>39000</v>
      </c>
      <c r="C231" s="182" t="s">
        <v>442</v>
      </c>
      <c r="D231" s="183"/>
      <c r="E231" s="184"/>
      <c r="F231" s="142"/>
      <c r="G231" s="142">
        <f t="shared" ref="G231" si="310">SUM(G232,G234)</f>
        <v>0</v>
      </c>
      <c r="H231" s="142">
        <f t="shared" ref="H231:K231" si="311">SUM(H232,H234)</f>
        <v>0</v>
      </c>
      <c r="I231" s="142"/>
      <c r="J231" s="142"/>
      <c r="K231" s="284">
        <f t="shared" si="311"/>
        <v>0</v>
      </c>
      <c r="M231"/>
      <c r="N231"/>
      <c r="O231"/>
      <c r="P231"/>
      <c r="Q231"/>
    </row>
    <row r="232" spans="1:17" s="66" customFormat="1" hidden="1" x14ac:dyDescent="0.25">
      <c r="A232" s="75"/>
      <c r="B232" s="76"/>
      <c r="C232" s="106">
        <v>39200</v>
      </c>
      <c r="D232" s="179" t="s">
        <v>443</v>
      </c>
      <c r="E232" s="180"/>
      <c r="F232" s="143"/>
      <c r="G232" s="143">
        <f t="shared" ref="G232" si="312">SUM(G233)</f>
        <v>0</v>
      </c>
      <c r="H232" s="143">
        <f t="shared" ref="H232:K232" si="313">SUM(H233)</f>
        <v>0</v>
      </c>
      <c r="I232" s="143"/>
      <c r="J232" s="143"/>
      <c r="K232" s="285">
        <f t="shared" si="313"/>
        <v>0</v>
      </c>
      <c r="M232"/>
      <c r="N232"/>
      <c r="O232"/>
      <c r="P232"/>
      <c r="Q232"/>
    </row>
    <row r="233" spans="1:17" s="66" customFormat="1" hidden="1" x14ac:dyDescent="0.25">
      <c r="A233" s="75"/>
      <c r="B233" s="77"/>
      <c r="C233" s="76"/>
      <c r="D233" s="78">
        <v>39201</v>
      </c>
      <c r="E233" s="79" t="s">
        <v>443</v>
      </c>
      <c r="F233" s="186"/>
      <c r="G233" s="186"/>
      <c r="H233" s="186">
        <f>F233+G233</f>
        <v>0</v>
      </c>
      <c r="I233" s="186">
        <v>0</v>
      </c>
      <c r="J233" s="186">
        <v>0</v>
      </c>
      <c r="K233" s="283">
        <f>H233-I233</f>
        <v>0</v>
      </c>
      <c r="M233"/>
      <c r="N233"/>
      <c r="O233"/>
      <c r="P233"/>
      <c r="Q233"/>
    </row>
    <row r="234" spans="1:17" s="66" customFormat="1" hidden="1" x14ac:dyDescent="0.25">
      <c r="A234" s="75"/>
      <c r="B234" s="76"/>
      <c r="C234" s="106">
        <v>39600</v>
      </c>
      <c r="D234" s="179" t="s">
        <v>538</v>
      </c>
      <c r="E234" s="180"/>
      <c r="F234" s="143"/>
      <c r="G234" s="143">
        <f t="shared" ref="G234" si="314">SUM(G235)</f>
        <v>0</v>
      </c>
      <c r="H234" s="143">
        <f t="shared" ref="H234:K234" si="315">SUM(H235)</f>
        <v>0</v>
      </c>
      <c r="I234" s="143"/>
      <c r="J234" s="143"/>
      <c r="K234" s="285">
        <f t="shared" si="315"/>
        <v>0</v>
      </c>
      <c r="M234"/>
      <c r="N234"/>
      <c r="O234"/>
      <c r="P234"/>
      <c r="Q234"/>
    </row>
    <row r="235" spans="1:17" s="66" customFormat="1" hidden="1" x14ac:dyDescent="0.25">
      <c r="A235" s="75"/>
      <c r="B235" s="77"/>
      <c r="C235" s="76"/>
      <c r="D235" s="78">
        <v>39601</v>
      </c>
      <c r="E235" s="79" t="s">
        <v>538</v>
      </c>
      <c r="F235" s="186"/>
      <c r="G235" s="186"/>
      <c r="H235" s="186">
        <f>F235+G235</f>
        <v>0</v>
      </c>
      <c r="I235" s="186">
        <v>0</v>
      </c>
      <c r="J235" s="186">
        <v>0</v>
      </c>
      <c r="K235" s="283">
        <f>H235-I235</f>
        <v>0</v>
      </c>
      <c r="M235"/>
      <c r="N235"/>
      <c r="O235"/>
      <c r="P235"/>
      <c r="Q235"/>
    </row>
    <row r="236" spans="1:17" s="66" customFormat="1" x14ac:dyDescent="0.25">
      <c r="A236" s="75"/>
      <c r="B236" s="77"/>
      <c r="C236" s="76"/>
      <c r="D236" s="78"/>
      <c r="E236" s="79"/>
      <c r="F236" s="141"/>
      <c r="G236" s="141"/>
      <c r="H236" s="141"/>
      <c r="I236" s="141"/>
      <c r="J236" s="141"/>
      <c r="K236" s="283"/>
      <c r="M236"/>
      <c r="N236"/>
      <c r="O236"/>
      <c r="P236"/>
      <c r="Q236"/>
    </row>
    <row r="237" spans="1:17" s="66" customFormat="1" x14ac:dyDescent="0.25">
      <c r="A237" s="67">
        <v>40000</v>
      </c>
      <c r="B237" s="68" t="s">
        <v>444</v>
      </c>
      <c r="C237" s="69"/>
      <c r="D237" s="69"/>
      <c r="E237" s="70"/>
      <c r="F237" s="141">
        <f>SUM(F238)</f>
        <v>46000</v>
      </c>
      <c r="G237" s="141">
        <f t="shared" ref="G237" si="316">SUM(G238,G241)</f>
        <v>4000</v>
      </c>
      <c r="H237" s="141">
        <f t="shared" ref="H237:K237" si="317">SUM(H238,H241)</f>
        <v>50000</v>
      </c>
      <c r="I237" s="141">
        <f t="shared" ref="I237:J237" si="318">SUM(I238,I241)</f>
        <v>50000</v>
      </c>
      <c r="J237" s="141">
        <f t="shared" si="318"/>
        <v>50000</v>
      </c>
      <c r="K237" s="283">
        <f t="shared" si="317"/>
        <v>0</v>
      </c>
      <c r="M237" s="268">
        <f>I237-J237</f>
        <v>0</v>
      </c>
      <c r="N237"/>
      <c r="O237"/>
      <c r="P237"/>
      <c r="Q237"/>
    </row>
    <row r="238" spans="1:17" s="66" customFormat="1" x14ac:dyDescent="0.25">
      <c r="A238" s="75"/>
      <c r="B238" s="181">
        <v>44000</v>
      </c>
      <c r="C238" s="182" t="s">
        <v>445</v>
      </c>
      <c r="D238" s="183"/>
      <c r="E238" s="184"/>
      <c r="F238" s="142">
        <f t="shared" ref="F238:G239" si="319">SUM(F239)</f>
        <v>46000</v>
      </c>
      <c r="G238" s="142">
        <f t="shared" si="319"/>
        <v>4000</v>
      </c>
      <c r="H238" s="142">
        <f t="shared" ref="H238:K239" si="320">SUM(H239)</f>
        <v>50000</v>
      </c>
      <c r="I238" s="142">
        <f t="shared" si="320"/>
        <v>50000</v>
      </c>
      <c r="J238" s="142">
        <f t="shared" si="320"/>
        <v>50000</v>
      </c>
      <c r="K238" s="284">
        <f t="shared" si="320"/>
        <v>0</v>
      </c>
      <c r="M238"/>
      <c r="N238"/>
      <c r="O238"/>
      <c r="P238"/>
      <c r="Q238"/>
    </row>
    <row r="239" spans="1:17" s="66" customFormat="1" x14ac:dyDescent="0.25">
      <c r="A239" s="75"/>
      <c r="B239" s="76"/>
      <c r="C239" s="106">
        <v>44500</v>
      </c>
      <c r="D239" s="179" t="s">
        <v>446</v>
      </c>
      <c r="E239" s="180"/>
      <c r="F239" s="143">
        <f t="shared" si="319"/>
        <v>46000</v>
      </c>
      <c r="G239" s="143">
        <f t="shared" si="319"/>
        <v>4000</v>
      </c>
      <c r="H239" s="143">
        <f t="shared" si="320"/>
        <v>50000</v>
      </c>
      <c r="I239" s="143">
        <f t="shared" si="320"/>
        <v>50000</v>
      </c>
      <c r="J239" s="143">
        <f t="shared" si="320"/>
        <v>50000</v>
      </c>
      <c r="K239" s="285">
        <f t="shared" si="320"/>
        <v>0</v>
      </c>
      <c r="M239"/>
      <c r="N239"/>
      <c r="O239"/>
      <c r="P239"/>
      <c r="Q239"/>
    </row>
    <row r="240" spans="1:17" s="66" customFormat="1" x14ac:dyDescent="0.25">
      <c r="A240" s="75"/>
      <c r="B240" s="77"/>
      <c r="C240" s="76"/>
      <c r="D240" s="78">
        <v>44502</v>
      </c>
      <c r="E240" s="79" t="s">
        <v>447</v>
      </c>
      <c r="F240" s="186">
        <v>46000</v>
      </c>
      <c r="G240" s="186">
        <v>4000</v>
      </c>
      <c r="H240" s="186">
        <f>F240+G240</f>
        <v>50000</v>
      </c>
      <c r="I240" s="186">
        <v>50000</v>
      </c>
      <c r="J240" s="186">
        <v>50000</v>
      </c>
      <c r="K240" s="283">
        <f>H240-I240</f>
        <v>0</v>
      </c>
      <c r="M240"/>
      <c r="N240"/>
      <c r="O240"/>
      <c r="P240"/>
      <c r="Q240"/>
    </row>
    <row r="241" spans="1:17" s="66" customFormat="1" hidden="1" x14ac:dyDescent="0.25">
      <c r="A241" s="75"/>
      <c r="B241" s="181">
        <v>46000</v>
      </c>
      <c r="C241" s="182" t="s">
        <v>448</v>
      </c>
      <c r="D241" s="183"/>
      <c r="E241" s="184"/>
      <c r="F241" s="142"/>
      <c r="G241" s="142">
        <f t="shared" ref="G241:G242" si="321">SUM(G242)</f>
        <v>0</v>
      </c>
      <c r="H241" s="142">
        <f t="shared" ref="H241:K242" si="322">SUM(H242)</f>
        <v>0</v>
      </c>
      <c r="I241" s="142"/>
      <c r="J241" s="142"/>
      <c r="K241" s="284">
        <f t="shared" si="322"/>
        <v>0</v>
      </c>
      <c r="M241"/>
      <c r="N241"/>
      <c r="O241"/>
      <c r="P241"/>
      <c r="Q241"/>
    </row>
    <row r="242" spans="1:17" s="66" customFormat="1" hidden="1" x14ac:dyDescent="0.25">
      <c r="A242" s="75"/>
      <c r="B242" s="76"/>
      <c r="C242" s="106">
        <v>46300</v>
      </c>
      <c r="D242" s="179" t="s">
        <v>449</v>
      </c>
      <c r="E242" s="180"/>
      <c r="F242" s="143"/>
      <c r="G242" s="143">
        <f t="shared" si="321"/>
        <v>0</v>
      </c>
      <c r="H242" s="143">
        <f t="shared" si="322"/>
        <v>0</v>
      </c>
      <c r="I242" s="143"/>
      <c r="J242" s="143"/>
      <c r="K242" s="285">
        <f t="shared" si="322"/>
        <v>0</v>
      </c>
      <c r="M242"/>
      <c r="N242"/>
      <c r="O242"/>
      <c r="P242"/>
      <c r="Q242"/>
    </row>
    <row r="243" spans="1:17" s="66" customFormat="1" ht="30" hidden="1" x14ac:dyDescent="0.25">
      <c r="A243" s="75"/>
      <c r="B243" s="77"/>
      <c r="C243" s="76"/>
      <c r="D243" s="78">
        <v>46301</v>
      </c>
      <c r="E243" s="79" t="s">
        <v>450</v>
      </c>
      <c r="F243" s="186"/>
      <c r="G243" s="186"/>
      <c r="H243" s="186">
        <f>F243+G243</f>
        <v>0</v>
      </c>
      <c r="I243" s="186"/>
      <c r="J243" s="186"/>
      <c r="K243" s="283">
        <f>H243-I243</f>
        <v>0</v>
      </c>
      <c r="M243"/>
      <c r="N243"/>
      <c r="O243"/>
      <c r="P243"/>
      <c r="Q243"/>
    </row>
    <row r="244" spans="1:17" s="66" customFormat="1" x14ac:dyDescent="0.25">
      <c r="A244" s="75"/>
      <c r="B244" s="77"/>
      <c r="C244" s="76"/>
      <c r="D244" s="78"/>
      <c r="E244" s="79"/>
      <c r="F244" s="186"/>
      <c r="G244" s="186"/>
      <c r="H244" s="186"/>
      <c r="I244" s="186"/>
      <c r="J244" s="186"/>
      <c r="K244" s="283"/>
      <c r="M244"/>
      <c r="N244"/>
      <c r="O244"/>
      <c r="P244"/>
      <c r="Q244"/>
    </row>
    <row r="245" spans="1:17" s="66" customFormat="1" x14ac:dyDescent="0.25">
      <c r="A245" s="67">
        <v>50000</v>
      </c>
      <c r="B245" s="68" t="s">
        <v>451</v>
      </c>
      <c r="C245" s="69"/>
      <c r="D245" s="69"/>
      <c r="E245" s="70"/>
      <c r="F245" s="141">
        <f t="shared" ref="F245:G245" si="323">SUM(F246,F255,F260,F264,F267)</f>
        <v>343630.39</v>
      </c>
      <c r="G245" s="141">
        <f t="shared" si="323"/>
        <v>586840</v>
      </c>
      <c r="H245" s="141">
        <f>SUM(H246,H255,H260,H264,H267)</f>
        <v>930470.39</v>
      </c>
      <c r="I245" s="141">
        <f>SUM(I246,I255,I260,I264,I267)</f>
        <v>821834.78</v>
      </c>
      <c r="J245" s="141">
        <f>SUM(J246,J255,J260,J264,J267)</f>
        <v>220080.6</v>
      </c>
      <c r="K245" s="283">
        <f t="shared" ref="K245" si="324">SUM(K246,K255,K260,K264,K267)</f>
        <v>108635.60999999999</v>
      </c>
      <c r="M245" s="268">
        <f>I245-J245</f>
        <v>601754.18000000005</v>
      </c>
      <c r="N245"/>
      <c r="O245"/>
      <c r="P245"/>
      <c r="Q245"/>
    </row>
    <row r="246" spans="1:17" s="66" customFormat="1" x14ac:dyDescent="0.25">
      <c r="A246" s="75"/>
      <c r="B246" s="181">
        <v>51000</v>
      </c>
      <c r="C246" s="182" t="s">
        <v>452</v>
      </c>
      <c r="D246" s="183"/>
      <c r="E246" s="184"/>
      <c r="F246" s="142">
        <f>SUM(F247,F253)</f>
        <v>71692</v>
      </c>
      <c r="G246" s="142">
        <f t="shared" ref="G246" si="325">SUM(G247,G249,G253)</f>
        <v>212938</v>
      </c>
      <c r="H246" s="142">
        <f t="shared" ref="H246:K246" si="326">SUM(H247,H249,H253)</f>
        <v>284630</v>
      </c>
      <c r="I246" s="142">
        <f t="shared" ref="I246:J246" si="327">SUM(I247,I249,I253)</f>
        <v>263048.73000000004</v>
      </c>
      <c r="J246" s="142">
        <f t="shared" si="327"/>
        <v>29169.719999999998</v>
      </c>
      <c r="K246" s="284">
        <f t="shared" si="326"/>
        <v>21581.269999999993</v>
      </c>
      <c r="M246"/>
      <c r="N246"/>
      <c r="O246"/>
      <c r="P246"/>
      <c r="Q246"/>
    </row>
    <row r="247" spans="1:17" s="66" customFormat="1" x14ac:dyDescent="0.25">
      <c r="A247" s="75"/>
      <c r="B247" s="76"/>
      <c r="C247" s="106">
        <v>51100</v>
      </c>
      <c r="D247" s="179" t="s">
        <v>453</v>
      </c>
      <c r="E247" s="180"/>
      <c r="F247" s="143">
        <f t="shared" ref="F247:G247" si="328">SUM(F248)</f>
        <v>51092</v>
      </c>
      <c r="G247" s="143">
        <f t="shared" si="328"/>
        <v>0</v>
      </c>
      <c r="H247" s="143">
        <f t="shared" ref="H247:K247" si="329">SUM(H248)</f>
        <v>51092</v>
      </c>
      <c r="I247" s="143">
        <f t="shared" si="329"/>
        <v>44921.13</v>
      </c>
      <c r="J247" s="143">
        <f t="shared" si="329"/>
        <v>11523.599999999999</v>
      </c>
      <c r="K247" s="285">
        <f t="shared" si="329"/>
        <v>6170.8700000000026</v>
      </c>
      <c r="M247"/>
      <c r="N247"/>
      <c r="O247"/>
      <c r="P247"/>
      <c r="Q247"/>
    </row>
    <row r="248" spans="1:17" s="66" customFormat="1" x14ac:dyDescent="0.25">
      <c r="A248" s="75"/>
      <c r="B248" s="77"/>
      <c r="C248" s="76"/>
      <c r="D248" s="78">
        <v>51101</v>
      </c>
      <c r="E248" s="79" t="s">
        <v>453</v>
      </c>
      <c r="F248" s="186">
        <v>51092</v>
      </c>
      <c r="G248" s="186"/>
      <c r="H248" s="186">
        <f>F248+G248</f>
        <v>51092</v>
      </c>
      <c r="I248" s="186">
        <v>44921.13</v>
      </c>
      <c r="J248" s="186">
        <f>44921.13-33397.53</f>
        <v>11523.599999999999</v>
      </c>
      <c r="K248" s="283">
        <f>H248-I248</f>
        <v>6170.8700000000026</v>
      </c>
      <c r="M248"/>
      <c r="N248"/>
      <c r="O248"/>
      <c r="P248"/>
      <c r="Q248"/>
    </row>
    <row r="249" spans="1:17" s="66" customFormat="1" x14ac:dyDescent="0.25">
      <c r="A249" s="75"/>
      <c r="B249" s="76"/>
      <c r="C249" s="106">
        <v>51500</v>
      </c>
      <c r="D249" s="179" t="s">
        <v>454</v>
      </c>
      <c r="E249" s="180"/>
      <c r="F249" s="143"/>
      <c r="G249" s="143">
        <f t="shared" ref="G249" si="330">SUM(G250:G252)</f>
        <v>212938</v>
      </c>
      <c r="H249" s="143">
        <f t="shared" ref="H249:K249" si="331">SUM(H250:H252)</f>
        <v>212938</v>
      </c>
      <c r="I249" s="143">
        <f t="shared" si="331"/>
        <v>200481.48</v>
      </c>
      <c r="J249" s="143">
        <f t="shared" ref="J249" si="332">SUM(J250:J252)</f>
        <v>0</v>
      </c>
      <c r="K249" s="285">
        <f t="shared" si="331"/>
        <v>12456.51999999999</v>
      </c>
      <c r="M249"/>
      <c r="N249"/>
      <c r="O249"/>
      <c r="P249"/>
      <c r="Q249"/>
    </row>
    <row r="250" spans="1:17" s="66" customFormat="1" ht="30" x14ac:dyDescent="0.25">
      <c r="A250" s="75"/>
      <c r="B250" s="77"/>
      <c r="C250" s="76"/>
      <c r="D250" s="78">
        <v>51501</v>
      </c>
      <c r="E250" s="79" t="s">
        <v>539</v>
      </c>
      <c r="F250" s="186"/>
      <c r="G250" s="186">
        <v>212938</v>
      </c>
      <c r="H250" s="186">
        <f>F250+G250</f>
        <v>212938</v>
      </c>
      <c r="I250" s="186">
        <v>200481.48</v>
      </c>
      <c r="J250" s="186">
        <f>200481.48-200481.48</f>
        <v>0</v>
      </c>
      <c r="K250" s="283">
        <f>H250-I250</f>
        <v>12456.51999999999</v>
      </c>
      <c r="M250"/>
      <c r="N250"/>
      <c r="O250"/>
      <c r="P250"/>
      <c r="Q250"/>
    </row>
    <row r="251" spans="1:17" s="66" customFormat="1" x14ac:dyDescent="0.25">
      <c r="A251" s="75"/>
      <c r="B251" s="77"/>
      <c r="C251" s="76"/>
      <c r="D251" s="78">
        <v>51502</v>
      </c>
      <c r="E251" s="79" t="s">
        <v>455</v>
      </c>
      <c r="F251" s="186"/>
      <c r="G251" s="186"/>
      <c r="H251" s="186">
        <f>F251+G251</f>
        <v>0</v>
      </c>
      <c r="I251" s="186">
        <v>0</v>
      </c>
      <c r="J251" s="186">
        <v>0</v>
      </c>
      <c r="K251" s="283">
        <f>H251-I251</f>
        <v>0</v>
      </c>
      <c r="M251"/>
      <c r="N251"/>
      <c r="O251"/>
      <c r="P251"/>
      <c r="Q251"/>
    </row>
    <row r="252" spans="1:17" s="66" customFormat="1" x14ac:dyDescent="0.25">
      <c r="A252" s="75"/>
      <c r="B252" s="77"/>
      <c r="C252" s="76"/>
      <c r="D252" s="78">
        <v>51503</v>
      </c>
      <c r="E252" s="79" t="s">
        <v>456</v>
      </c>
      <c r="F252" s="186"/>
      <c r="G252" s="186"/>
      <c r="H252" s="186">
        <f>F252+G252</f>
        <v>0</v>
      </c>
      <c r="I252" s="186">
        <v>0</v>
      </c>
      <c r="J252" s="186">
        <v>0</v>
      </c>
      <c r="K252" s="283">
        <f>H252-I252</f>
        <v>0</v>
      </c>
      <c r="M252"/>
      <c r="N252"/>
      <c r="O252"/>
      <c r="P252"/>
      <c r="Q252"/>
    </row>
    <row r="253" spans="1:17" s="66" customFormat="1" x14ac:dyDescent="0.25">
      <c r="A253" s="75"/>
      <c r="B253" s="76"/>
      <c r="C253" s="106">
        <v>51900</v>
      </c>
      <c r="D253" s="179" t="s">
        <v>569</v>
      </c>
      <c r="E253" s="180"/>
      <c r="F253" s="143">
        <f t="shared" ref="F253:G253" si="333">SUM(F254)</f>
        <v>20600</v>
      </c>
      <c r="G253" s="143">
        <f t="shared" si="333"/>
        <v>0</v>
      </c>
      <c r="H253" s="143">
        <f t="shared" ref="H253:K253" si="334">SUM(H254)</f>
        <v>20600</v>
      </c>
      <c r="I253" s="143">
        <f t="shared" si="334"/>
        <v>17646.12</v>
      </c>
      <c r="J253" s="143">
        <f t="shared" si="334"/>
        <v>17646.12</v>
      </c>
      <c r="K253" s="285">
        <f t="shared" si="334"/>
        <v>2953.880000000001</v>
      </c>
      <c r="M253"/>
      <c r="N253"/>
      <c r="O253"/>
      <c r="P253"/>
      <c r="Q253"/>
    </row>
    <row r="254" spans="1:17" s="66" customFormat="1" ht="15" customHeight="1" x14ac:dyDescent="0.25">
      <c r="A254" s="75"/>
      <c r="B254" s="77"/>
      <c r="C254" s="80"/>
      <c r="D254" s="83">
        <v>51901</v>
      </c>
      <c r="E254" s="84" t="s">
        <v>569</v>
      </c>
      <c r="F254" s="186">
        <v>20600</v>
      </c>
      <c r="G254" s="186"/>
      <c r="H254" s="186">
        <f>F254+G254</f>
        <v>20600</v>
      </c>
      <c r="I254" s="186">
        <v>17646.12</v>
      </c>
      <c r="J254" s="186">
        <v>17646.12</v>
      </c>
      <c r="K254" s="283">
        <f>H254-I254</f>
        <v>2953.880000000001</v>
      </c>
      <c r="M254"/>
      <c r="N254"/>
      <c r="O254"/>
      <c r="P254"/>
      <c r="Q254"/>
    </row>
    <row r="255" spans="1:17" s="66" customFormat="1" x14ac:dyDescent="0.25">
      <c r="A255" s="75"/>
      <c r="B255" s="181">
        <v>52000</v>
      </c>
      <c r="C255" s="182" t="s">
        <v>457</v>
      </c>
      <c r="D255" s="183"/>
      <c r="E255" s="184"/>
      <c r="F255" s="142">
        <f>SUM(F256)</f>
        <v>2575</v>
      </c>
      <c r="G255" s="142">
        <f t="shared" ref="G255" si="335">SUM(G256,G258)</f>
        <v>141800</v>
      </c>
      <c r="H255" s="142">
        <f t="shared" ref="H255:K255" si="336">SUM(H256,H258)</f>
        <v>144375</v>
      </c>
      <c r="I255" s="142">
        <f t="shared" si="336"/>
        <v>138907.72999999998</v>
      </c>
      <c r="J255" s="142">
        <f t="shared" ref="J255" si="337">SUM(J256,J258)</f>
        <v>0</v>
      </c>
      <c r="K255" s="284">
        <f t="shared" si="336"/>
        <v>5467.2700000000041</v>
      </c>
      <c r="M255"/>
      <c r="N255"/>
      <c r="O255"/>
      <c r="P255"/>
      <c r="Q255"/>
    </row>
    <row r="256" spans="1:17" s="66" customFormat="1" x14ac:dyDescent="0.25">
      <c r="A256" s="75"/>
      <c r="B256" s="76"/>
      <c r="C256" s="106">
        <v>52100</v>
      </c>
      <c r="D256" s="179" t="s">
        <v>458</v>
      </c>
      <c r="E256" s="180"/>
      <c r="F256" s="143">
        <f t="shared" ref="F256:G256" si="338">SUM(F257)</f>
        <v>2575</v>
      </c>
      <c r="G256" s="143">
        <f t="shared" si="338"/>
        <v>80000</v>
      </c>
      <c r="H256" s="143">
        <f t="shared" ref="H256:K256" si="339">SUM(H257)</f>
        <v>82575</v>
      </c>
      <c r="I256" s="143">
        <f t="shared" si="339"/>
        <v>78329.45</v>
      </c>
      <c r="J256" s="143">
        <f t="shared" si="339"/>
        <v>0</v>
      </c>
      <c r="K256" s="285">
        <f t="shared" si="339"/>
        <v>4245.5500000000029</v>
      </c>
      <c r="M256"/>
      <c r="N256"/>
      <c r="O256"/>
      <c r="P256"/>
      <c r="Q256"/>
    </row>
    <row r="257" spans="1:17" s="66" customFormat="1" x14ac:dyDescent="0.25">
      <c r="A257" s="75"/>
      <c r="B257" s="77"/>
      <c r="C257" s="80"/>
      <c r="D257" s="83">
        <v>52101</v>
      </c>
      <c r="E257" s="84" t="s">
        <v>458</v>
      </c>
      <c r="F257" s="186">
        <v>2575</v>
      </c>
      <c r="G257" s="186">
        <v>80000</v>
      </c>
      <c r="H257" s="186">
        <f>F257+G257</f>
        <v>82575</v>
      </c>
      <c r="I257" s="186">
        <v>78329.45</v>
      </c>
      <c r="J257" s="186">
        <f>78329.45-78329.45</f>
        <v>0</v>
      </c>
      <c r="K257" s="283">
        <f>H257-I257</f>
        <v>4245.5500000000029</v>
      </c>
      <c r="M257"/>
      <c r="N257"/>
      <c r="O257"/>
      <c r="P257"/>
      <c r="Q257"/>
    </row>
    <row r="258" spans="1:17" s="66" customFormat="1" x14ac:dyDescent="0.25">
      <c r="A258" s="75"/>
      <c r="B258" s="76"/>
      <c r="C258" s="106">
        <v>52300</v>
      </c>
      <c r="D258" s="179" t="s">
        <v>570</v>
      </c>
      <c r="E258" s="180"/>
      <c r="F258" s="143"/>
      <c r="G258" s="143">
        <f t="shared" ref="G258" si="340">SUM(G259)</f>
        <v>61800</v>
      </c>
      <c r="H258" s="143">
        <f t="shared" ref="H258:K258" si="341">SUM(H259)</f>
        <v>61800</v>
      </c>
      <c r="I258" s="143">
        <f t="shared" si="341"/>
        <v>60578.28</v>
      </c>
      <c r="J258" s="143">
        <f t="shared" si="341"/>
        <v>0</v>
      </c>
      <c r="K258" s="285">
        <f t="shared" si="341"/>
        <v>1221.7200000000012</v>
      </c>
      <c r="M258"/>
      <c r="N258"/>
      <c r="O258"/>
      <c r="P258"/>
      <c r="Q258"/>
    </row>
    <row r="259" spans="1:17" s="66" customFormat="1" x14ac:dyDescent="0.25">
      <c r="A259" s="75"/>
      <c r="B259" s="77"/>
      <c r="C259" s="80"/>
      <c r="D259" s="83">
        <v>52301</v>
      </c>
      <c r="E259" s="84" t="s">
        <v>570</v>
      </c>
      <c r="F259" s="186"/>
      <c r="G259" s="186">
        <v>61800</v>
      </c>
      <c r="H259" s="186">
        <f>F259+G259</f>
        <v>61800</v>
      </c>
      <c r="I259" s="186">
        <v>60578.28</v>
      </c>
      <c r="J259" s="186">
        <f>60578.28-60578.28</f>
        <v>0</v>
      </c>
      <c r="K259" s="283">
        <f>H259-I259</f>
        <v>1221.7200000000012</v>
      </c>
      <c r="M259"/>
      <c r="N259"/>
      <c r="O259"/>
      <c r="P259"/>
      <c r="Q259"/>
    </row>
    <row r="260" spans="1:17" s="66" customFormat="1" x14ac:dyDescent="0.25">
      <c r="A260" s="75"/>
      <c r="B260" s="181">
        <v>53000</v>
      </c>
      <c r="C260" s="182" t="s">
        <v>459</v>
      </c>
      <c r="D260" s="183"/>
      <c r="E260" s="184"/>
      <c r="F260" s="142">
        <f t="shared" ref="F260:G260" si="342">SUM(F261)</f>
        <v>129363.39</v>
      </c>
      <c r="G260" s="142">
        <f t="shared" si="342"/>
        <v>0</v>
      </c>
      <c r="H260" s="142">
        <f t="shared" ref="H260:K260" si="343">SUM(H261)</f>
        <v>129363.39</v>
      </c>
      <c r="I260" s="142">
        <f t="shared" si="343"/>
        <v>68310</v>
      </c>
      <c r="J260" s="142">
        <f t="shared" si="343"/>
        <v>68310</v>
      </c>
      <c r="K260" s="284">
        <f t="shared" si="343"/>
        <v>61053.39</v>
      </c>
      <c r="M260"/>
      <c r="N260"/>
      <c r="O260"/>
      <c r="P260"/>
      <c r="Q260"/>
    </row>
    <row r="261" spans="1:17" s="66" customFormat="1" x14ac:dyDescent="0.25">
      <c r="A261" s="75"/>
      <c r="B261" s="76"/>
      <c r="C261" s="106">
        <v>53200</v>
      </c>
      <c r="D261" s="179" t="s">
        <v>540</v>
      </c>
      <c r="E261" s="180"/>
      <c r="F261" s="143">
        <f>SUM(F262:F262)</f>
        <v>129363.39</v>
      </c>
      <c r="G261" s="143">
        <f t="shared" ref="G261" si="344">SUM(G262:G263)</f>
        <v>0</v>
      </c>
      <c r="H261" s="143">
        <f t="shared" ref="H261:K261" si="345">SUM(H262:H263)</f>
        <v>129363.39</v>
      </c>
      <c r="I261" s="143">
        <f t="shared" ref="I261:J261" si="346">SUM(I262:I263)</f>
        <v>68310</v>
      </c>
      <c r="J261" s="143">
        <f t="shared" si="346"/>
        <v>68310</v>
      </c>
      <c r="K261" s="285">
        <f t="shared" si="345"/>
        <v>61053.39</v>
      </c>
      <c r="M261"/>
      <c r="N261"/>
      <c r="O261"/>
      <c r="P261"/>
      <c r="Q261"/>
    </row>
    <row r="262" spans="1:17" s="66" customFormat="1" x14ac:dyDescent="0.25">
      <c r="A262" s="75"/>
      <c r="B262" s="77"/>
      <c r="C262" s="80"/>
      <c r="D262" s="83">
        <v>53101</v>
      </c>
      <c r="E262" s="86" t="s">
        <v>546</v>
      </c>
      <c r="F262" s="186">
        <v>129363.39</v>
      </c>
      <c r="G262" s="186"/>
      <c r="H262" s="186">
        <f>F262+G262</f>
        <v>129363.39</v>
      </c>
      <c r="I262" s="186">
        <v>68310</v>
      </c>
      <c r="J262" s="186">
        <v>68310</v>
      </c>
      <c r="K262" s="283">
        <f>H262-I262</f>
        <v>61053.39</v>
      </c>
      <c r="M262"/>
      <c r="N262"/>
      <c r="O262"/>
      <c r="P262"/>
      <c r="Q262"/>
    </row>
    <row r="263" spans="1:17" s="66" customFormat="1" x14ac:dyDescent="0.25">
      <c r="A263" s="75"/>
      <c r="B263" s="77"/>
      <c r="C263" s="80"/>
      <c r="D263" s="83">
        <v>53201</v>
      </c>
      <c r="E263" s="86" t="s">
        <v>540</v>
      </c>
      <c r="F263" s="186"/>
      <c r="G263" s="186"/>
      <c r="H263" s="186">
        <f>F263+G263</f>
        <v>0</v>
      </c>
      <c r="I263" s="186">
        <v>0</v>
      </c>
      <c r="J263" s="186">
        <v>0</v>
      </c>
      <c r="K263" s="283">
        <f>H263-I263</f>
        <v>0</v>
      </c>
      <c r="M263"/>
      <c r="N263"/>
      <c r="O263"/>
      <c r="P263"/>
      <c r="Q263"/>
    </row>
    <row r="264" spans="1:17" s="66" customFormat="1" hidden="1" x14ac:dyDescent="0.25">
      <c r="A264" s="75"/>
      <c r="B264" s="181">
        <v>54000</v>
      </c>
      <c r="C264" s="182" t="s">
        <v>541</v>
      </c>
      <c r="D264" s="183"/>
      <c r="E264" s="184"/>
      <c r="F264" s="142">
        <f t="shared" ref="F264:K265" si="347">SUM(F265)</f>
        <v>0</v>
      </c>
      <c r="G264" s="142">
        <f t="shared" si="347"/>
        <v>0</v>
      </c>
      <c r="H264" s="142">
        <f t="shared" si="347"/>
        <v>0</v>
      </c>
      <c r="I264" s="142"/>
      <c r="J264" s="142"/>
      <c r="K264" s="284">
        <f t="shared" si="347"/>
        <v>0</v>
      </c>
      <c r="M264"/>
      <c r="N264"/>
      <c r="O264"/>
      <c r="P264"/>
      <c r="Q264"/>
    </row>
    <row r="265" spans="1:17" s="66" customFormat="1" hidden="1" x14ac:dyDescent="0.25">
      <c r="A265" s="75"/>
      <c r="B265" s="76"/>
      <c r="C265" s="106">
        <v>54100</v>
      </c>
      <c r="D265" s="179" t="s">
        <v>541</v>
      </c>
      <c r="E265" s="180"/>
      <c r="F265" s="143"/>
      <c r="G265" s="143">
        <f t="shared" si="347"/>
        <v>0</v>
      </c>
      <c r="H265" s="143">
        <f t="shared" si="347"/>
        <v>0</v>
      </c>
      <c r="I265" s="143"/>
      <c r="J265" s="143"/>
      <c r="K265" s="285">
        <f t="shared" si="347"/>
        <v>0</v>
      </c>
      <c r="M265"/>
      <c r="N265"/>
      <c r="O265"/>
      <c r="P265"/>
      <c r="Q265"/>
    </row>
    <row r="266" spans="1:17" s="66" customFormat="1" hidden="1" x14ac:dyDescent="0.25">
      <c r="A266" s="75"/>
      <c r="B266" s="77"/>
      <c r="C266" s="80"/>
      <c r="D266" s="83">
        <v>54101</v>
      </c>
      <c r="E266" s="84" t="s">
        <v>541</v>
      </c>
      <c r="F266" s="186"/>
      <c r="G266" s="186"/>
      <c r="H266" s="186">
        <f>F266+G266</f>
        <v>0</v>
      </c>
      <c r="I266" s="186">
        <v>0</v>
      </c>
      <c r="J266" s="186">
        <v>0</v>
      </c>
      <c r="K266" s="283">
        <f>H266-I266</f>
        <v>0</v>
      </c>
      <c r="M266"/>
      <c r="N266"/>
      <c r="O266"/>
      <c r="P266"/>
      <c r="Q266"/>
    </row>
    <row r="267" spans="1:17" s="66" customFormat="1" x14ac:dyDescent="0.25">
      <c r="A267" s="75"/>
      <c r="B267" s="181">
        <v>56000</v>
      </c>
      <c r="C267" s="182" t="s">
        <v>460</v>
      </c>
      <c r="D267" s="183"/>
      <c r="E267" s="184"/>
      <c r="F267" s="142">
        <f t="shared" ref="F267:K267" si="348">SUM(F268,F270,F272,F274)</f>
        <v>140000</v>
      </c>
      <c r="G267" s="142">
        <f t="shared" si="348"/>
        <v>232102</v>
      </c>
      <c r="H267" s="142">
        <f t="shared" si="348"/>
        <v>372102</v>
      </c>
      <c r="I267" s="142">
        <f t="shared" ref="I267:J267" si="349">SUM(I268,I270,I272,I274)</f>
        <v>351568.32</v>
      </c>
      <c r="J267" s="142">
        <f t="shared" si="349"/>
        <v>122600.88</v>
      </c>
      <c r="K267" s="284">
        <f t="shared" si="348"/>
        <v>20533.679999999993</v>
      </c>
      <c r="M267"/>
      <c r="N267"/>
      <c r="O267"/>
      <c r="P267"/>
      <c r="Q267"/>
    </row>
    <row r="268" spans="1:17" s="66" customFormat="1" x14ac:dyDescent="0.25">
      <c r="A268" s="75"/>
      <c r="B268" s="76"/>
      <c r="C268" s="106">
        <v>56400</v>
      </c>
      <c r="D268" s="179" t="s">
        <v>461</v>
      </c>
      <c r="E268" s="180"/>
      <c r="F268" s="143">
        <f t="shared" ref="F268:G268" si="350">SUM(F269)</f>
        <v>90000</v>
      </c>
      <c r="G268" s="143">
        <f t="shared" si="350"/>
        <v>125040</v>
      </c>
      <c r="H268" s="143">
        <f t="shared" ref="H268:K268" si="351">SUM(H269)</f>
        <v>215040</v>
      </c>
      <c r="I268" s="143">
        <f t="shared" si="351"/>
        <v>194507.28</v>
      </c>
      <c r="J268" s="143">
        <f t="shared" si="351"/>
        <v>89397.36</v>
      </c>
      <c r="K268" s="285">
        <f t="shared" si="351"/>
        <v>20532.72</v>
      </c>
      <c r="M268"/>
      <c r="N268"/>
      <c r="O268"/>
      <c r="P268"/>
      <c r="Q268"/>
    </row>
    <row r="269" spans="1:17" s="66" customFormat="1" ht="30" x14ac:dyDescent="0.25">
      <c r="A269" s="75"/>
      <c r="B269" s="77"/>
      <c r="C269" s="76"/>
      <c r="D269" s="78">
        <v>56401</v>
      </c>
      <c r="E269" s="79" t="s">
        <v>462</v>
      </c>
      <c r="F269" s="186">
        <v>90000</v>
      </c>
      <c r="G269" s="186">
        <v>125040</v>
      </c>
      <c r="H269" s="186">
        <f>F269+G269</f>
        <v>215040</v>
      </c>
      <c r="I269" s="186">
        <v>194507.28</v>
      </c>
      <c r="J269" s="186">
        <f>194507.28-105109.92</f>
        <v>89397.36</v>
      </c>
      <c r="K269" s="283">
        <f>H269-I269</f>
        <v>20532.72</v>
      </c>
      <c r="M269"/>
      <c r="N269"/>
      <c r="O269"/>
      <c r="P269"/>
      <c r="Q269"/>
    </row>
    <row r="270" spans="1:17" s="66" customFormat="1" x14ac:dyDescent="0.25">
      <c r="A270" s="75"/>
      <c r="B270" s="76"/>
      <c r="C270" s="106">
        <v>56500</v>
      </c>
      <c r="D270" s="179" t="s">
        <v>463</v>
      </c>
      <c r="E270" s="180"/>
      <c r="F270" s="143">
        <f t="shared" ref="F270:G270" si="352">SUM(F271)</f>
        <v>50000</v>
      </c>
      <c r="G270" s="143">
        <f t="shared" si="352"/>
        <v>107062</v>
      </c>
      <c r="H270" s="143">
        <f t="shared" ref="H270:K270" si="353">SUM(H271)</f>
        <v>157062</v>
      </c>
      <c r="I270" s="143">
        <f t="shared" si="353"/>
        <v>157061.04</v>
      </c>
      <c r="J270" s="143">
        <f t="shared" si="353"/>
        <v>33203.520000000004</v>
      </c>
      <c r="K270" s="285">
        <f t="shared" si="353"/>
        <v>0.95999999999185093</v>
      </c>
      <c r="M270"/>
      <c r="N270"/>
      <c r="O270"/>
      <c r="P270"/>
      <c r="Q270"/>
    </row>
    <row r="271" spans="1:17" s="66" customFormat="1" ht="30" x14ac:dyDescent="0.25">
      <c r="A271" s="75"/>
      <c r="B271" s="77"/>
      <c r="C271" s="76"/>
      <c r="D271" s="78">
        <v>56501</v>
      </c>
      <c r="E271" s="79" t="s">
        <v>463</v>
      </c>
      <c r="F271" s="186">
        <v>50000</v>
      </c>
      <c r="G271" s="186">
        <v>107062</v>
      </c>
      <c r="H271" s="186">
        <f>F271+G271</f>
        <v>157062</v>
      </c>
      <c r="I271" s="186">
        <v>157061.04</v>
      </c>
      <c r="J271" s="186">
        <f>157061.04-123857.52</f>
        <v>33203.520000000004</v>
      </c>
      <c r="K271" s="283">
        <f>H271-I271</f>
        <v>0.95999999999185093</v>
      </c>
      <c r="M271"/>
      <c r="N271"/>
      <c r="O271"/>
      <c r="P271"/>
      <c r="Q271"/>
    </row>
    <row r="272" spans="1:17" s="66" customFormat="1" hidden="1" x14ac:dyDescent="0.25">
      <c r="A272" s="75"/>
      <c r="B272" s="76"/>
      <c r="C272" s="106">
        <v>56600</v>
      </c>
      <c r="D272" s="179" t="s">
        <v>464</v>
      </c>
      <c r="E272" s="180"/>
      <c r="F272" s="143"/>
      <c r="G272" s="143">
        <f t="shared" ref="G272" si="354">SUM(G273)</f>
        <v>0</v>
      </c>
      <c r="H272" s="143">
        <f t="shared" ref="H272:K272" si="355">SUM(H273)</f>
        <v>0</v>
      </c>
      <c r="I272" s="143"/>
      <c r="J272" s="143"/>
      <c r="K272" s="285">
        <f t="shared" si="355"/>
        <v>0</v>
      </c>
      <c r="M272"/>
      <c r="N272"/>
      <c r="O272"/>
      <c r="P272"/>
      <c r="Q272"/>
    </row>
    <row r="273" spans="1:17" s="66" customFormat="1" ht="30" hidden="1" x14ac:dyDescent="0.25">
      <c r="A273" s="75"/>
      <c r="B273" s="77"/>
      <c r="C273" s="76"/>
      <c r="D273" s="85">
        <v>56601</v>
      </c>
      <c r="E273" s="87" t="s">
        <v>464</v>
      </c>
      <c r="F273" s="186"/>
      <c r="G273" s="186"/>
      <c r="H273" s="186">
        <f>F273+G273</f>
        <v>0</v>
      </c>
      <c r="I273" s="186">
        <v>0</v>
      </c>
      <c r="J273" s="186">
        <v>0</v>
      </c>
      <c r="K273" s="283">
        <f>H273-I273</f>
        <v>0</v>
      </c>
      <c r="M273"/>
      <c r="N273"/>
      <c r="O273"/>
      <c r="P273"/>
      <c r="Q273"/>
    </row>
    <row r="274" spans="1:17" s="66" customFormat="1" hidden="1" x14ac:dyDescent="0.25">
      <c r="A274" s="75"/>
      <c r="B274" s="76"/>
      <c r="C274" s="106">
        <v>56900</v>
      </c>
      <c r="D274" s="179" t="s">
        <v>465</v>
      </c>
      <c r="E274" s="180"/>
      <c r="F274" s="143"/>
      <c r="G274" s="143">
        <f t="shared" ref="G274" si="356">SUM(G275)</f>
        <v>0</v>
      </c>
      <c r="H274" s="143">
        <f t="shared" ref="H274:K274" si="357">SUM(H275)</f>
        <v>0</v>
      </c>
      <c r="I274" s="143"/>
      <c r="J274" s="143"/>
      <c r="K274" s="285">
        <f t="shared" si="357"/>
        <v>0</v>
      </c>
      <c r="M274"/>
      <c r="N274"/>
      <c r="O274"/>
      <c r="P274"/>
      <c r="Q274"/>
    </row>
    <row r="275" spans="1:17" s="66" customFormat="1" hidden="1" x14ac:dyDescent="0.25">
      <c r="A275" s="75"/>
      <c r="B275" s="77"/>
      <c r="C275" s="76"/>
      <c r="D275" s="78">
        <v>56901</v>
      </c>
      <c r="E275" s="79" t="s">
        <v>465</v>
      </c>
      <c r="F275" s="186"/>
      <c r="G275" s="186"/>
      <c r="H275" s="186">
        <f t="shared" ref="H275:H280" si="358">F275+G275</f>
        <v>0</v>
      </c>
      <c r="I275" s="186">
        <v>0</v>
      </c>
      <c r="J275" s="186">
        <v>0</v>
      </c>
      <c r="K275" s="283">
        <f t="shared" ref="K275:K280" si="359">H275-I275</f>
        <v>0</v>
      </c>
      <c r="M275"/>
      <c r="N275"/>
      <c r="O275"/>
      <c r="P275"/>
      <c r="Q275"/>
    </row>
    <row r="276" spans="1:17" s="66" customFormat="1" x14ac:dyDescent="0.25">
      <c r="A276" s="75"/>
      <c r="B276" s="242"/>
      <c r="C276" s="241"/>
      <c r="D276" s="83"/>
      <c r="E276" s="84"/>
      <c r="F276" s="186"/>
      <c r="G276" s="186"/>
      <c r="H276" s="186"/>
      <c r="I276" s="186"/>
      <c r="J276" s="186"/>
      <c r="K276" s="283"/>
      <c r="M276"/>
      <c r="N276"/>
      <c r="O276"/>
      <c r="P276"/>
      <c r="Q276"/>
    </row>
    <row r="277" spans="1:17" s="66" customFormat="1" x14ac:dyDescent="0.25">
      <c r="A277" s="67">
        <v>60000</v>
      </c>
      <c r="B277" s="68" t="s">
        <v>542</v>
      </c>
      <c r="C277" s="69"/>
      <c r="D277" s="69"/>
      <c r="E277" s="70"/>
      <c r="F277" s="141">
        <f t="shared" ref="F277:G279" si="360">SUM(F278)</f>
        <v>38592.699999999997</v>
      </c>
      <c r="G277" s="141">
        <f t="shared" si="360"/>
        <v>0</v>
      </c>
      <c r="H277" s="141">
        <f t="shared" ref="H277:K279" si="361">SUM(H278)</f>
        <v>38592.699999999997</v>
      </c>
      <c r="I277" s="141">
        <f t="shared" si="361"/>
        <v>0</v>
      </c>
      <c r="J277" s="141">
        <f t="shared" si="361"/>
        <v>0</v>
      </c>
      <c r="K277" s="283">
        <f t="shared" si="361"/>
        <v>38592.699999999997</v>
      </c>
      <c r="M277"/>
      <c r="N277"/>
      <c r="O277"/>
      <c r="P277"/>
      <c r="Q277"/>
    </row>
    <row r="278" spans="1:17" s="66" customFormat="1" x14ac:dyDescent="0.25">
      <c r="A278" s="75"/>
      <c r="B278" s="181">
        <v>62000</v>
      </c>
      <c r="C278" s="182" t="s">
        <v>477</v>
      </c>
      <c r="D278" s="183"/>
      <c r="E278" s="184"/>
      <c r="F278" s="142">
        <f t="shared" si="360"/>
        <v>38592.699999999997</v>
      </c>
      <c r="G278" s="142">
        <f t="shared" si="360"/>
        <v>0</v>
      </c>
      <c r="H278" s="142">
        <f t="shared" si="361"/>
        <v>38592.699999999997</v>
      </c>
      <c r="I278" s="142">
        <f t="shared" si="361"/>
        <v>0</v>
      </c>
      <c r="J278" s="142">
        <f t="shared" si="361"/>
        <v>0</v>
      </c>
      <c r="K278" s="284">
        <f t="shared" si="361"/>
        <v>38592.699999999997</v>
      </c>
      <c r="M278"/>
      <c r="N278"/>
      <c r="O278"/>
      <c r="P278"/>
      <c r="Q278"/>
    </row>
    <row r="279" spans="1:17" s="66" customFormat="1" x14ac:dyDescent="0.25">
      <c r="A279" s="75"/>
      <c r="B279" s="76"/>
      <c r="C279" s="106">
        <v>62900</v>
      </c>
      <c r="D279" s="179" t="s">
        <v>509</v>
      </c>
      <c r="E279" s="180"/>
      <c r="F279" s="143">
        <f t="shared" si="360"/>
        <v>38592.699999999997</v>
      </c>
      <c r="G279" s="143">
        <f t="shared" si="360"/>
        <v>0</v>
      </c>
      <c r="H279" s="143">
        <f t="shared" si="361"/>
        <v>38592.699999999997</v>
      </c>
      <c r="I279" s="143">
        <f t="shared" si="361"/>
        <v>0</v>
      </c>
      <c r="J279" s="143">
        <f t="shared" si="361"/>
        <v>0</v>
      </c>
      <c r="K279" s="285">
        <f t="shared" si="361"/>
        <v>38592.699999999997</v>
      </c>
      <c r="M279"/>
      <c r="N279"/>
      <c r="O279"/>
      <c r="P279"/>
      <c r="Q279"/>
    </row>
    <row r="280" spans="1:17" s="66" customFormat="1" ht="30" x14ac:dyDescent="0.25">
      <c r="A280" s="132"/>
      <c r="B280" s="133"/>
      <c r="C280" s="134"/>
      <c r="D280" s="135">
        <v>62901</v>
      </c>
      <c r="E280" s="136" t="s">
        <v>543</v>
      </c>
      <c r="F280" s="186">
        <v>38592.699999999997</v>
      </c>
      <c r="G280" s="186"/>
      <c r="H280" s="186">
        <f t="shared" si="358"/>
        <v>38592.699999999997</v>
      </c>
      <c r="I280" s="186">
        <v>0</v>
      </c>
      <c r="J280" s="186">
        <v>0</v>
      </c>
      <c r="K280" s="283">
        <f t="shared" si="359"/>
        <v>38592.699999999997</v>
      </c>
      <c r="M280"/>
      <c r="N280"/>
      <c r="O280"/>
      <c r="P280"/>
      <c r="Q280"/>
    </row>
    <row r="281" spans="1:17" s="66" customFormat="1" x14ac:dyDescent="0.25">
      <c r="A281" s="132"/>
      <c r="B281" s="133"/>
      <c r="C281" s="134"/>
      <c r="D281" s="135"/>
      <c r="E281" s="136"/>
      <c r="F281" s="190"/>
      <c r="G281" s="190"/>
      <c r="H281" s="190"/>
      <c r="I281" s="190"/>
      <c r="J281" s="190"/>
      <c r="K281" s="286"/>
      <c r="M281"/>
      <c r="N281"/>
      <c r="O281"/>
      <c r="P281"/>
      <c r="Q281"/>
    </row>
    <row r="282" spans="1:17" s="66" customFormat="1" x14ac:dyDescent="0.25">
      <c r="A282" s="67">
        <v>70000</v>
      </c>
      <c r="B282" s="68" t="s">
        <v>548</v>
      </c>
      <c r="C282" s="69"/>
      <c r="D282" s="69"/>
      <c r="E282" s="70"/>
      <c r="F282" s="141">
        <f>F283</f>
        <v>5000000</v>
      </c>
      <c r="G282" s="141">
        <f t="shared" ref="G282:G284" si="362">G283</f>
        <v>0</v>
      </c>
      <c r="H282" s="141">
        <f t="shared" ref="H282:J284" si="363">H283</f>
        <v>5000000</v>
      </c>
      <c r="I282" s="141">
        <f t="shared" si="363"/>
        <v>5000000</v>
      </c>
      <c r="J282" s="141">
        <f t="shared" si="363"/>
        <v>0</v>
      </c>
      <c r="K282" s="283">
        <f t="shared" ref="K282:K284" si="364">K283</f>
        <v>0</v>
      </c>
      <c r="M282"/>
      <c r="N282"/>
      <c r="O282"/>
      <c r="P282"/>
      <c r="Q282"/>
    </row>
    <row r="283" spans="1:17" s="66" customFormat="1" x14ac:dyDescent="0.25">
      <c r="A283" s="75"/>
      <c r="B283" s="181">
        <v>75000</v>
      </c>
      <c r="C283" s="182" t="s">
        <v>549</v>
      </c>
      <c r="D283" s="183"/>
      <c r="E283" s="184"/>
      <c r="F283" s="142">
        <f>F284</f>
        <v>5000000</v>
      </c>
      <c r="G283" s="142">
        <f t="shared" si="362"/>
        <v>0</v>
      </c>
      <c r="H283" s="142">
        <f t="shared" si="363"/>
        <v>5000000</v>
      </c>
      <c r="I283" s="142">
        <f t="shared" si="363"/>
        <v>5000000</v>
      </c>
      <c r="J283" s="142">
        <f t="shared" si="363"/>
        <v>0</v>
      </c>
      <c r="K283" s="284">
        <f t="shared" si="364"/>
        <v>0</v>
      </c>
      <c r="M283"/>
      <c r="N283"/>
      <c r="O283"/>
      <c r="P283"/>
      <c r="Q283"/>
    </row>
    <row r="284" spans="1:17" s="66" customFormat="1" x14ac:dyDescent="0.25">
      <c r="A284" s="75"/>
      <c r="B284" s="76"/>
      <c r="C284" s="106">
        <v>75300</v>
      </c>
      <c r="D284" s="179" t="s">
        <v>547</v>
      </c>
      <c r="E284" s="180"/>
      <c r="F284" s="143">
        <f>F285</f>
        <v>5000000</v>
      </c>
      <c r="G284" s="143">
        <f t="shared" si="362"/>
        <v>0</v>
      </c>
      <c r="H284" s="143">
        <f t="shared" si="363"/>
        <v>5000000</v>
      </c>
      <c r="I284" s="143">
        <f t="shared" si="363"/>
        <v>5000000</v>
      </c>
      <c r="J284" s="143">
        <f t="shared" si="363"/>
        <v>0</v>
      </c>
      <c r="K284" s="285">
        <f t="shared" si="364"/>
        <v>0</v>
      </c>
      <c r="M284"/>
      <c r="N284"/>
      <c r="O284"/>
      <c r="P284"/>
      <c r="Q284"/>
    </row>
    <row r="285" spans="1:17" s="66" customFormat="1" ht="30" x14ac:dyDescent="0.25">
      <c r="A285" s="132"/>
      <c r="B285" s="133"/>
      <c r="C285" s="134"/>
      <c r="D285" s="135">
        <v>75301</v>
      </c>
      <c r="E285" s="136" t="s">
        <v>550</v>
      </c>
      <c r="F285" s="190">
        <v>5000000</v>
      </c>
      <c r="G285" s="190"/>
      <c r="H285" s="190">
        <f t="shared" ref="H285" si="365">F285+G285</f>
        <v>5000000</v>
      </c>
      <c r="I285" s="190">
        <v>5000000</v>
      </c>
      <c r="J285" s="190"/>
      <c r="K285" s="283">
        <f t="shared" ref="K285" si="366">H285-I285</f>
        <v>0</v>
      </c>
      <c r="M285"/>
      <c r="N285"/>
      <c r="O285"/>
      <c r="P285"/>
      <c r="Q285"/>
    </row>
    <row r="286" spans="1:17" s="66" customFormat="1" ht="15.75" thickBot="1" x14ac:dyDescent="0.3">
      <c r="A286" s="287"/>
      <c r="B286" s="288"/>
      <c r="C286" s="289"/>
      <c r="D286" s="290"/>
      <c r="E286" s="291"/>
      <c r="F286" s="292"/>
      <c r="G286" s="292"/>
      <c r="H286" s="292"/>
      <c r="I286" s="269"/>
      <c r="J286" s="238"/>
      <c r="K286" s="293"/>
      <c r="M286"/>
      <c r="N286"/>
      <c r="O286"/>
      <c r="P286"/>
      <c r="Q286"/>
    </row>
    <row r="287" spans="1:17" x14ac:dyDescent="0.25">
      <c r="A287" s="272"/>
      <c r="B287" s="272"/>
      <c r="C287" s="272"/>
      <c r="D287" s="272"/>
      <c r="E287" s="273"/>
      <c r="F287" s="272"/>
      <c r="G287" s="274"/>
      <c r="H287" s="272"/>
    </row>
    <row r="288" spans="1:17" x14ac:dyDescent="0.25">
      <c r="A288" s="272"/>
      <c r="B288" s="272"/>
      <c r="C288" s="272"/>
      <c r="D288" s="272"/>
      <c r="E288" s="273"/>
      <c r="F288" s="272"/>
      <c r="G288" s="271"/>
      <c r="H288" s="272"/>
    </row>
    <row r="289" spans="1:8" x14ac:dyDescent="0.25">
      <c r="A289" s="272"/>
      <c r="B289" s="272"/>
      <c r="C289" s="272"/>
      <c r="D289" s="272"/>
      <c r="E289" s="273"/>
      <c r="F289" s="272"/>
      <c r="G289" s="272"/>
      <c r="H289" s="272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A17" sqref="A17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3.5703125" style="89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06" t="s">
        <v>466</v>
      </c>
      <c r="B1" s="306"/>
      <c r="C1" s="306"/>
      <c r="D1"/>
    </row>
    <row r="2" spans="1:4" ht="15" customHeight="1" x14ac:dyDescent="0.25">
      <c r="A2" s="307" t="s">
        <v>494</v>
      </c>
      <c r="B2" s="307"/>
      <c r="C2" s="307"/>
      <c r="D2"/>
    </row>
    <row r="3" spans="1:4" ht="15" customHeight="1" x14ac:dyDescent="0.25">
      <c r="A3" s="308" t="s">
        <v>577</v>
      </c>
      <c r="B3" s="308"/>
      <c r="C3" s="308"/>
      <c r="D3"/>
    </row>
    <row r="4" spans="1:4" ht="15.75" thickBot="1" x14ac:dyDescent="0.3">
      <c r="A4" s="309" t="s">
        <v>468</v>
      </c>
      <c r="B4" s="309"/>
      <c r="C4" s="309"/>
      <c r="D4"/>
    </row>
    <row r="5" spans="1:4" ht="15.75" customHeight="1" thickBot="1" x14ac:dyDescent="0.3">
      <c r="A5" s="310" t="s">
        <v>495</v>
      </c>
      <c r="B5" s="311"/>
      <c r="C5" s="193">
        <f>SUM(EAI!H48)</f>
        <v>1045133876.0000001</v>
      </c>
      <c r="D5"/>
    </row>
    <row r="6" spans="1:4" ht="33.75" customHeight="1" thickBot="1" x14ac:dyDescent="0.3">
      <c r="A6" s="312"/>
      <c r="B6" s="312"/>
      <c r="C6" s="91"/>
      <c r="D6"/>
    </row>
    <row r="7" spans="1:4" ht="15.75" customHeight="1" thickBot="1" x14ac:dyDescent="0.3">
      <c r="A7" s="317" t="s">
        <v>496</v>
      </c>
      <c r="B7" s="318"/>
      <c r="C7" s="194">
        <f>SUM(C8:C13)</f>
        <v>6330861.2699999996</v>
      </c>
      <c r="D7"/>
    </row>
    <row r="8" spans="1:4" ht="15.75" customHeight="1" x14ac:dyDescent="0.25">
      <c r="A8" s="259"/>
      <c r="B8" s="107" t="s">
        <v>558</v>
      </c>
      <c r="C8" s="262">
        <v>0</v>
      </c>
      <c r="D8"/>
    </row>
    <row r="9" spans="1:4" x14ac:dyDescent="0.25">
      <c r="A9" s="260"/>
      <c r="B9" s="261" t="s">
        <v>497</v>
      </c>
      <c r="C9" s="262">
        <v>0</v>
      </c>
      <c r="D9"/>
    </row>
    <row r="10" spans="1:4" x14ac:dyDescent="0.25">
      <c r="A10" s="108"/>
      <c r="B10" s="95" t="s">
        <v>498</v>
      </c>
      <c r="C10" s="191">
        <v>0</v>
      </c>
      <c r="D10"/>
    </row>
    <row r="11" spans="1:4" ht="15.75" customHeight="1" x14ac:dyDescent="0.25">
      <c r="A11" s="108"/>
      <c r="B11" s="95" t="s">
        <v>499</v>
      </c>
      <c r="C11" s="191">
        <v>0</v>
      </c>
      <c r="D11"/>
    </row>
    <row r="12" spans="1:4" ht="15.75" customHeight="1" x14ac:dyDescent="0.25">
      <c r="A12" s="108"/>
      <c r="B12" s="95" t="s">
        <v>500</v>
      </c>
      <c r="C12" s="191">
        <v>6330861.2699999996</v>
      </c>
      <c r="D12"/>
    </row>
    <row r="13" spans="1:4" ht="15.75" customHeight="1" thickBot="1" x14ac:dyDescent="0.3">
      <c r="A13" s="94" t="s">
        <v>501</v>
      </c>
      <c r="B13" s="109"/>
      <c r="C13" s="192"/>
      <c r="D13"/>
    </row>
    <row r="14" spans="1:4" ht="15.75" customHeight="1" thickBot="1" x14ac:dyDescent="0.3">
      <c r="A14" s="313"/>
      <c r="B14" s="313"/>
      <c r="C14" s="91"/>
      <c r="D14"/>
    </row>
    <row r="15" spans="1:4" ht="15.75" customHeight="1" thickBot="1" x14ac:dyDescent="0.3">
      <c r="A15" s="317" t="s">
        <v>502</v>
      </c>
      <c r="B15" s="318"/>
      <c r="C15" s="194">
        <f>SUM(C16:C18)</f>
        <v>0</v>
      </c>
      <c r="D15"/>
    </row>
    <row r="16" spans="1:4" ht="15.75" customHeight="1" x14ac:dyDescent="0.25">
      <c r="A16" s="108"/>
      <c r="B16" s="95" t="s">
        <v>503</v>
      </c>
      <c r="C16" s="191">
        <v>0</v>
      </c>
      <c r="D16"/>
    </row>
    <row r="17" spans="1:4" ht="15.75" customHeight="1" x14ac:dyDescent="0.25">
      <c r="A17" s="108"/>
      <c r="B17" s="95" t="s">
        <v>504</v>
      </c>
      <c r="C17" s="191">
        <v>0</v>
      </c>
      <c r="D17"/>
    </row>
    <row r="18" spans="1:4" ht="15.75" customHeight="1" thickBot="1" x14ac:dyDescent="0.3">
      <c r="A18" s="314" t="s">
        <v>505</v>
      </c>
      <c r="B18" s="315"/>
      <c r="C18" s="192">
        <v>0</v>
      </c>
      <c r="D18"/>
    </row>
    <row r="19" spans="1:4" ht="15.75" customHeight="1" thickBot="1" x14ac:dyDescent="0.3">
      <c r="A19" s="316"/>
      <c r="B19" s="316"/>
      <c r="C19" s="101"/>
      <c r="D19"/>
    </row>
    <row r="20" spans="1:4" ht="15.75" customHeight="1" thickBot="1" x14ac:dyDescent="0.3">
      <c r="A20" s="310" t="s">
        <v>506</v>
      </c>
      <c r="B20" s="311"/>
      <c r="C20" s="193">
        <f>C5+C7-C15</f>
        <v>1051464737.2700001</v>
      </c>
      <c r="D20"/>
    </row>
    <row r="21" spans="1:4" ht="15.75" customHeight="1" x14ac:dyDescent="0.25">
      <c r="A21" s="100"/>
      <c r="B21" s="100"/>
      <c r="C21" s="268"/>
      <c r="D21"/>
    </row>
    <row r="22" spans="1:4" ht="15.75" customHeight="1" x14ac:dyDescent="0.25">
      <c r="A22"/>
      <c r="B22"/>
      <c r="C22" s="268"/>
      <c r="D22"/>
    </row>
    <row r="23" spans="1:4" ht="15.75" customHeight="1" x14ac:dyDescent="0.25">
      <c r="A23" s="102"/>
      <c r="B23" s="102"/>
      <c r="C23" s="102"/>
      <c r="D23" s="139"/>
    </row>
    <row r="24" spans="1:4" ht="15.75" customHeight="1" x14ac:dyDescent="0.25">
      <c r="A24" s="102"/>
      <c r="B24" s="102"/>
      <c r="C24" s="102"/>
      <c r="D24" s="139"/>
    </row>
    <row r="25" spans="1:4" ht="15.75" customHeight="1" x14ac:dyDescent="0.25">
      <c r="A25" s="102"/>
      <c r="B25" s="102"/>
      <c r="C25" s="102"/>
      <c r="D25" s="139"/>
    </row>
    <row r="26" spans="1:4" x14ac:dyDescent="0.25">
      <c r="D26"/>
    </row>
    <row r="27" spans="1:4" x14ac:dyDescent="0.25">
      <c r="C27" s="103"/>
      <c r="D27"/>
    </row>
    <row r="28" spans="1:4" x14ac:dyDescent="0.25">
      <c r="D28" s="103"/>
    </row>
    <row r="33" spans="4:4" x14ac:dyDescent="0.25">
      <c r="D33" s="104"/>
    </row>
    <row r="36" spans="4:4" x14ac:dyDescent="0.25">
      <c r="D36" s="10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opLeftCell="A25" workbookViewId="0">
      <selection activeCell="C41" sqref="C41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24"/>
      <c r="B1" s="324"/>
      <c r="C1" s="324"/>
    </row>
    <row r="2" spans="1:6" ht="15" customHeight="1" x14ac:dyDescent="0.25">
      <c r="A2" s="325" t="s">
        <v>466</v>
      </c>
      <c r="B2" s="325"/>
      <c r="C2" s="325"/>
    </row>
    <row r="3" spans="1:6" ht="15" customHeight="1" x14ac:dyDescent="0.25">
      <c r="A3" s="326" t="s">
        <v>467</v>
      </c>
      <c r="B3" s="326"/>
      <c r="C3" s="326"/>
    </row>
    <row r="4" spans="1:6" ht="15" customHeight="1" x14ac:dyDescent="0.25">
      <c r="A4" s="325" t="s">
        <v>577</v>
      </c>
      <c r="B4" s="325"/>
      <c r="C4" s="325"/>
    </row>
    <row r="5" spans="1:6" ht="15.75" thickBot="1" x14ac:dyDescent="0.3">
      <c r="A5" s="327" t="s">
        <v>468</v>
      </c>
      <c r="B5" s="327"/>
      <c r="C5" s="327"/>
    </row>
    <row r="6" spans="1:6" ht="15.75" customHeight="1" thickBot="1" x14ac:dyDescent="0.3">
      <c r="A6" s="320" t="s">
        <v>469</v>
      </c>
      <c r="B6" s="321"/>
      <c r="C6" s="195">
        <f>SUM(COG!G82)</f>
        <v>1019384043.9300001</v>
      </c>
    </row>
    <row r="7" spans="1:6" ht="18" customHeight="1" thickBot="1" x14ac:dyDescent="0.3">
      <c r="A7" s="319"/>
      <c r="B7" s="319"/>
      <c r="C7" s="91"/>
    </row>
    <row r="8" spans="1:6" ht="15.75" customHeight="1" thickBot="1" x14ac:dyDescent="0.3">
      <c r="A8" s="320" t="s">
        <v>470</v>
      </c>
      <c r="B8" s="321"/>
      <c r="C8" s="196">
        <f>SUM(C11:C29)</f>
        <v>5821834.7800000003</v>
      </c>
      <c r="D8" s="104"/>
      <c r="E8" s="104"/>
      <c r="F8" s="104"/>
    </row>
    <row r="9" spans="1:6" ht="15.75" customHeight="1" x14ac:dyDescent="0.25">
      <c r="A9" s="92"/>
      <c r="B9" s="93" t="s">
        <v>559</v>
      </c>
      <c r="C9" s="189">
        <v>0</v>
      </c>
      <c r="D9" s="104"/>
      <c r="E9" s="104"/>
      <c r="F9" s="104"/>
    </row>
    <row r="10" spans="1:6" ht="15.75" customHeight="1" x14ac:dyDescent="0.25">
      <c r="A10" s="92"/>
      <c r="B10" s="93" t="s">
        <v>76</v>
      </c>
      <c r="C10" s="189">
        <v>0</v>
      </c>
      <c r="D10" s="104"/>
      <c r="E10" s="104"/>
      <c r="F10" s="104"/>
    </row>
    <row r="11" spans="1:6" ht="16.5" customHeight="1" x14ac:dyDescent="0.25">
      <c r="A11" s="92"/>
      <c r="B11" s="93" t="s">
        <v>452</v>
      </c>
      <c r="C11" s="189">
        <f>SUM(COG!G49)</f>
        <v>263048.73000000004</v>
      </c>
      <c r="D11" s="104"/>
      <c r="E11" s="104"/>
      <c r="F11" s="104"/>
    </row>
    <row r="12" spans="1:6" x14ac:dyDescent="0.25">
      <c r="A12" s="94"/>
      <c r="B12" s="95" t="s">
        <v>457</v>
      </c>
      <c r="C12" s="189">
        <f>SUM(COG!G50)</f>
        <v>138907.72999999998</v>
      </c>
      <c r="D12" s="104"/>
      <c r="E12" s="104"/>
      <c r="F12" s="104"/>
    </row>
    <row r="13" spans="1:6" ht="15.75" customHeight="1" x14ac:dyDescent="0.25">
      <c r="A13" s="94"/>
      <c r="B13" s="95" t="s">
        <v>471</v>
      </c>
      <c r="C13" s="189">
        <f>SUM(COG!G51)</f>
        <v>68310</v>
      </c>
      <c r="D13" s="104"/>
      <c r="E13" s="104"/>
      <c r="F13" s="104"/>
    </row>
    <row r="14" spans="1:6" ht="15.75" customHeight="1" x14ac:dyDescent="0.25">
      <c r="A14" s="94"/>
      <c r="B14" s="95" t="s">
        <v>472</v>
      </c>
      <c r="C14" s="189">
        <f>SUM(COG!G52)</f>
        <v>0</v>
      </c>
      <c r="D14" s="104"/>
      <c r="E14" s="104"/>
      <c r="F14" s="104"/>
    </row>
    <row r="15" spans="1:6" ht="15.75" customHeight="1" x14ac:dyDescent="0.25">
      <c r="A15" s="94"/>
      <c r="B15" s="95" t="s">
        <v>473</v>
      </c>
      <c r="C15" s="189">
        <f>SUM(COG!G53)</f>
        <v>0</v>
      </c>
      <c r="D15" s="104"/>
      <c r="E15" s="104"/>
      <c r="F15" s="104"/>
    </row>
    <row r="16" spans="1:6" ht="15.75" customHeight="1" x14ac:dyDescent="0.25">
      <c r="A16" s="94"/>
      <c r="B16" s="95" t="s">
        <v>460</v>
      </c>
      <c r="C16" s="189">
        <f>SUM(COG!G54)</f>
        <v>351568.32</v>
      </c>
      <c r="D16" s="104"/>
      <c r="E16" s="104"/>
      <c r="F16" s="104"/>
    </row>
    <row r="17" spans="1:6" ht="15.75" customHeight="1" x14ac:dyDescent="0.25">
      <c r="A17" s="94"/>
      <c r="B17" s="95" t="s">
        <v>474</v>
      </c>
      <c r="C17" s="189">
        <f>SUM(COG!G55)</f>
        <v>0</v>
      </c>
      <c r="D17" s="104"/>
      <c r="E17" s="104"/>
      <c r="F17" s="104"/>
    </row>
    <row r="18" spans="1:6" x14ac:dyDescent="0.25">
      <c r="A18" s="94"/>
      <c r="B18" s="95" t="s">
        <v>475</v>
      </c>
      <c r="C18" s="189">
        <f>SUM(COG!G56)</f>
        <v>0</v>
      </c>
      <c r="D18" s="104"/>
      <c r="E18" s="104"/>
      <c r="F18" s="104"/>
    </row>
    <row r="19" spans="1:6" ht="15.75" customHeight="1" x14ac:dyDescent="0.25">
      <c r="A19" s="94"/>
      <c r="B19" s="95" t="s">
        <v>476</v>
      </c>
      <c r="C19" s="189">
        <f>SUM(COG!G57)</f>
        <v>0</v>
      </c>
      <c r="D19" s="104"/>
      <c r="E19" s="104"/>
      <c r="F19" s="104"/>
    </row>
    <row r="20" spans="1:6" ht="15.75" customHeight="1" x14ac:dyDescent="0.25">
      <c r="A20" s="94"/>
      <c r="B20" s="95" t="s">
        <v>172</v>
      </c>
      <c r="C20" s="189">
        <f>SUM(COG!G59)</f>
        <v>0</v>
      </c>
      <c r="D20" s="104"/>
      <c r="E20" s="104"/>
      <c r="F20" s="104"/>
    </row>
    <row r="21" spans="1:6" ht="15.75" customHeight="1" x14ac:dyDescent="0.25">
      <c r="A21" s="94"/>
      <c r="B21" s="95" t="s">
        <v>173</v>
      </c>
      <c r="C21" s="189">
        <f>SUM(COG!G60)</f>
        <v>0</v>
      </c>
      <c r="D21" s="104"/>
      <c r="E21" s="104"/>
      <c r="F21" s="104"/>
    </row>
    <row r="22" spans="1:6" ht="15.75" customHeight="1" x14ac:dyDescent="0.25">
      <c r="A22" s="94"/>
      <c r="B22" s="95" t="s">
        <v>478</v>
      </c>
      <c r="C22" s="189">
        <v>0</v>
      </c>
      <c r="D22" s="104"/>
      <c r="E22" s="104"/>
      <c r="F22" s="104"/>
    </row>
    <row r="23" spans="1:6" ht="15.75" customHeight="1" x14ac:dyDescent="0.25">
      <c r="A23" s="94"/>
      <c r="B23" s="95" t="s">
        <v>479</v>
      </c>
      <c r="C23" s="189">
        <v>0</v>
      </c>
      <c r="D23" s="104"/>
      <c r="E23" s="104"/>
      <c r="F23" s="104"/>
    </row>
    <row r="24" spans="1:6" ht="15.75" customHeight="1" x14ac:dyDescent="0.25">
      <c r="A24" s="94"/>
      <c r="B24" s="95" t="s">
        <v>560</v>
      </c>
      <c r="C24" s="189">
        <v>0</v>
      </c>
      <c r="D24" s="104"/>
      <c r="E24" s="104"/>
      <c r="F24" s="104"/>
    </row>
    <row r="25" spans="1:6" ht="15.75" customHeight="1" x14ac:dyDescent="0.25">
      <c r="A25" s="94"/>
      <c r="B25" s="95" t="s">
        <v>480</v>
      </c>
      <c r="C25" s="189">
        <f>SUM(COG!G67)</f>
        <v>5000000</v>
      </c>
      <c r="D25" s="104"/>
      <c r="E25" s="104"/>
      <c r="F25" s="104"/>
    </row>
    <row r="26" spans="1:6" ht="15.75" customHeight="1" x14ac:dyDescent="0.25">
      <c r="A26" s="94"/>
      <c r="B26" s="95" t="s">
        <v>481</v>
      </c>
      <c r="C26" s="188">
        <v>0</v>
      </c>
      <c r="D26" s="104"/>
      <c r="E26" s="104"/>
      <c r="F26" s="104"/>
    </row>
    <row r="27" spans="1:6" ht="15.75" customHeight="1" x14ac:dyDescent="0.25">
      <c r="A27" s="94"/>
      <c r="B27" s="95" t="s">
        <v>482</v>
      </c>
      <c r="C27" s="188">
        <v>0</v>
      </c>
      <c r="D27" s="104"/>
      <c r="E27" s="104"/>
      <c r="F27" s="104"/>
    </row>
    <row r="28" spans="1:6" ht="15.75" customHeight="1" x14ac:dyDescent="0.25">
      <c r="A28" s="94"/>
      <c r="B28" s="95" t="s">
        <v>483</v>
      </c>
      <c r="C28" s="188">
        <v>0</v>
      </c>
      <c r="D28" s="104"/>
      <c r="E28" s="104"/>
      <c r="F28" s="104"/>
    </row>
    <row r="29" spans="1:6" ht="15.75" customHeight="1" thickBot="1" x14ac:dyDescent="0.3">
      <c r="A29" s="322" t="s">
        <v>484</v>
      </c>
      <c r="B29" s="323"/>
      <c r="C29" s="197"/>
      <c r="D29" s="104"/>
      <c r="E29" s="104"/>
      <c r="F29" s="104"/>
    </row>
    <row r="30" spans="1:6" ht="15.75" customHeight="1" thickBot="1" x14ac:dyDescent="0.3">
      <c r="A30" s="319"/>
      <c r="B30" s="319"/>
      <c r="C30" s="91"/>
      <c r="D30" s="104"/>
      <c r="E30" s="104"/>
      <c r="F30" s="104"/>
    </row>
    <row r="31" spans="1:6" ht="15.75" customHeight="1" thickBot="1" x14ac:dyDescent="0.3">
      <c r="A31" s="320" t="s">
        <v>485</v>
      </c>
      <c r="B31" s="321"/>
      <c r="C31" s="195">
        <f>SUM(C32:C38)</f>
        <v>21627363.579999998</v>
      </c>
      <c r="D31" s="104"/>
      <c r="E31" s="104"/>
      <c r="F31" s="104"/>
    </row>
    <row r="32" spans="1:6" ht="15.75" customHeight="1" x14ac:dyDescent="0.25">
      <c r="A32" s="92"/>
      <c r="B32" s="93" t="s">
        <v>486</v>
      </c>
      <c r="C32" s="189">
        <v>15750130.49</v>
      </c>
      <c r="D32" s="104"/>
      <c r="E32" s="104"/>
      <c r="F32" s="104"/>
    </row>
    <row r="33" spans="1:6" ht="15.75" customHeight="1" x14ac:dyDescent="0.25">
      <c r="A33" s="94"/>
      <c r="B33" s="95" t="s">
        <v>487</v>
      </c>
      <c r="C33" s="188">
        <v>0</v>
      </c>
      <c r="D33" s="104"/>
      <c r="E33" s="104"/>
      <c r="F33" s="104"/>
    </row>
    <row r="34" spans="1:6" ht="15.75" customHeight="1" x14ac:dyDescent="0.25">
      <c r="A34" s="94"/>
      <c r="B34" s="95" t="s">
        <v>488</v>
      </c>
      <c r="C34" s="188">
        <v>0</v>
      </c>
      <c r="D34" s="104"/>
      <c r="E34" s="104"/>
      <c r="F34" s="104"/>
    </row>
    <row r="35" spans="1:6" x14ac:dyDescent="0.25">
      <c r="A35" s="94"/>
      <c r="B35" s="95" t="s">
        <v>489</v>
      </c>
      <c r="C35" s="188">
        <v>0</v>
      </c>
      <c r="D35" s="104"/>
      <c r="E35" s="104"/>
      <c r="F35" s="104"/>
    </row>
    <row r="36" spans="1:6" ht="15.75" customHeight="1" x14ac:dyDescent="0.25">
      <c r="A36" s="94"/>
      <c r="B36" s="95" t="s">
        <v>490</v>
      </c>
      <c r="C36" s="188">
        <v>0</v>
      </c>
      <c r="D36" s="104"/>
      <c r="E36" s="104"/>
      <c r="F36" s="104"/>
    </row>
    <row r="37" spans="1:6" ht="15.75" customHeight="1" x14ac:dyDescent="0.25">
      <c r="A37" s="94"/>
      <c r="B37" s="95" t="s">
        <v>491</v>
      </c>
      <c r="C37" s="188">
        <v>5877233.0899999999</v>
      </c>
      <c r="D37" s="104"/>
      <c r="E37" s="104"/>
      <c r="F37" s="104"/>
    </row>
    <row r="38" spans="1:6" ht="15.75" customHeight="1" thickBot="1" x14ac:dyDescent="0.3">
      <c r="A38" s="322" t="s">
        <v>492</v>
      </c>
      <c r="B38" s="323"/>
      <c r="C38" s="197"/>
      <c r="D38" s="104"/>
      <c r="E38" s="104"/>
      <c r="F38" s="104"/>
    </row>
    <row r="39" spans="1:6" ht="15.75" customHeight="1" thickBot="1" x14ac:dyDescent="0.3">
      <c r="A39" s="319"/>
      <c r="B39" s="319"/>
      <c r="C39" s="91"/>
      <c r="D39" s="104"/>
      <c r="E39" s="104"/>
      <c r="F39" s="104"/>
    </row>
    <row r="40" spans="1:6" ht="15.75" customHeight="1" thickBot="1" x14ac:dyDescent="0.3">
      <c r="A40" s="96" t="s">
        <v>493</v>
      </c>
      <c r="B40" s="97"/>
      <c r="C40" s="195">
        <f>(C6-C8)+C31</f>
        <v>1035189572.7300001</v>
      </c>
      <c r="D40" s="104"/>
      <c r="E40" s="104"/>
      <c r="F40" s="104"/>
    </row>
    <row r="41" spans="1:6" ht="15.75" customHeight="1" x14ac:dyDescent="0.25">
      <c r="A41" s="90"/>
      <c r="B41" s="90"/>
      <c r="C41" s="90"/>
      <c r="D41" s="104"/>
      <c r="E41" s="104"/>
      <c r="F41" s="104"/>
    </row>
    <row r="42" spans="1:6" ht="15.75" customHeight="1" x14ac:dyDescent="0.25">
      <c r="A42" s="98"/>
      <c r="B42" s="98"/>
      <c r="C42" s="266"/>
      <c r="D42" s="104"/>
      <c r="E42" s="104"/>
      <c r="F42" s="104"/>
    </row>
    <row r="43" spans="1:6" ht="15.75" customHeight="1" x14ac:dyDescent="0.25">
      <c r="A43" s="98"/>
      <c r="B43" s="98"/>
      <c r="C43" s="99"/>
      <c r="D43" s="104"/>
      <c r="E43" s="104"/>
      <c r="F43" s="104"/>
    </row>
    <row r="44" spans="1:6" ht="15.75" customHeight="1" x14ac:dyDescent="0.25">
      <c r="A44" s="100"/>
      <c r="B44" s="100"/>
      <c r="C44" s="101"/>
      <c r="D44" s="104"/>
      <c r="E44" s="104"/>
      <c r="F44" s="104"/>
    </row>
    <row r="45" spans="1:6" ht="15.75" customHeight="1" x14ac:dyDescent="0.25">
      <c r="A45" s="102"/>
      <c r="B45" s="102"/>
      <c r="C45" s="102"/>
      <c r="D45" s="104"/>
      <c r="E45" s="104"/>
      <c r="F45" s="104"/>
    </row>
    <row r="46" spans="1:6" ht="15.75" customHeight="1" x14ac:dyDescent="0.25">
      <c r="A46" s="102"/>
      <c r="B46" s="102"/>
      <c r="C46" s="102"/>
      <c r="D46" s="104"/>
      <c r="E46" s="104"/>
      <c r="F46" s="104"/>
    </row>
    <row r="47" spans="1:6" ht="15.75" customHeight="1" x14ac:dyDescent="0.25">
      <c r="A47" s="102"/>
      <c r="B47" s="102"/>
      <c r="C47" s="102"/>
      <c r="D47" s="104"/>
      <c r="E47" s="104"/>
      <c r="F47" s="104"/>
    </row>
    <row r="48" spans="1:6" x14ac:dyDescent="0.25">
      <c r="D48" s="104"/>
      <c r="E48" s="104"/>
      <c r="F48" s="104"/>
    </row>
    <row r="49" spans="3:3" x14ac:dyDescent="0.25">
      <c r="C49" s="10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A7" sqref="A7"/>
    </sheetView>
  </sheetViews>
  <sheetFormatPr baseColWidth="10" defaultRowHeight="15" x14ac:dyDescent="0.25"/>
  <cols>
    <col min="1" max="1" width="3.28515625" style="153" customWidth="1"/>
    <col min="2" max="2" width="52.5703125" style="153" customWidth="1"/>
    <col min="3" max="8" width="12.7109375" style="153" customWidth="1"/>
    <col min="9" max="29" width="11.42578125" style="7"/>
  </cols>
  <sheetData>
    <row r="1" spans="1:29" s="18" customFormat="1" x14ac:dyDescent="0.25">
      <c r="A1" s="153"/>
      <c r="B1" s="153"/>
      <c r="C1" s="153"/>
      <c r="D1" s="153"/>
      <c r="E1" s="153"/>
      <c r="F1" s="153"/>
      <c r="G1" s="153"/>
      <c r="H1" s="15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30"/>
      <c r="B2" s="330"/>
      <c r="C2" s="330"/>
      <c r="D2" s="330"/>
      <c r="E2" s="330"/>
      <c r="F2" s="330"/>
      <c r="G2" s="330"/>
      <c r="H2" s="330"/>
    </row>
    <row r="3" spans="1:29" ht="15.75" x14ac:dyDescent="0.25">
      <c r="A3" s="331" t="s">
        <v>466</v>
      </c>
      <c r="B3" s="331"/>
      <c r="C3" s="331"/>
      <c r="D3" s="331"/>
      <c r="E3" s="331"/>
      <c r="F3" s="331"/>
      <c r="G3" s="331"/>
      <c r="H3" s="331"/>
    </row>
    <row r="4" spans="1:29" x14ac:dyDescent="0.25">
      <c r="A4" s="332" t="s">
        <v>123</v>
      </c>
      <c r="B4" s="332"/>
      <c r="C4" s="332"/>
      <c r="D4" s="332"/>
      <c r="E4" s="332"/>
      <c r="F4" s="332"/>
      <c r="G4" s="332"/>
      <c r="H4" s="332"/>
    </row>
    <row r="5" spans="1:29" x14ac:dyDescent="0.25">
      <c r="A5" s="332" t="s">
        <v>124</v>
      </c>
      <c r="B5" s="332"/>
      <c r="C5" s="332"/>
      <c r="D5" s="332"/>
      <c r="E5" s="332"/>
      <c r="F5" s="332"/>
      <c r="G5" s="332"/>
      <c r="H5" s="332"/>
    </row>
    <row r="6" spans="1:29" x14ac:dyDescent="0.25">
      <c r="A6" s="332" t="s">
        <v>576</v>
      </c>
      <c r="B6" s="332"/>
      <c r="C6" s="332"/>
      <c r="D6" s="332"/>
      <c r="E6" s="332"/>
      <c r="F6" s="332"/>
      <c r="G6" s="332"/>
      <c r="H6" s="332"/>
    </row>
    <row r="7" spans="1:29" s="18" customFormat="1" x14ac:dyDescent="0.25">
      <c r="A7" s="153"/>
      <c r="B7" s="153"/>
      <c r="C7" s="153"/>
      <c r="D7" s="153"/>
      <c r="E7" s="153"/>
      <c r="F7" s="153"/>
      <c r="G7" s="153"/>
      <c r="H7" s="15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28" t="s">
        <v>73</v>
      </c>
      <c r="B8" s="328"/>
      <c r="C8" s="329" t="s">
        <v>125</v>
      </c>
      <c r="D8" s="329"/>
      <c r="E8" s="329"/>
      <c r="F8" s="329"/>
      <c r="G8" s="329"/>
      <c r="H8" s="329" t="s">
        <v>126</v>
      </c>
    </row>
    <row r="9" spans="1:29" ht="22.5" x14ac:dyDescent="0.25">
      <c r="A9" s="328"/>
      <c r="B9" s="328"/>
      <c r="C9" s="152" t="s">
        <v>127</v>
      </c>
      <c r="D9" s="152" t="s">
        <v>128</v>
      </c>
      <c r="E9" s="152" t="s">
        <v>107</v>
      </c>
      <c r="F9" s="152" t="s">
        <v>108</v>
      </c>
      <c r="G9" s="152" t="s">
        <v>129</v>
      </c>
      <c r="H9" s="329"/>
    </row>
    <row r="10" spans="1:29" x14ac:dyDescent="0.25">
      <c r="A10" s="328"/>
      <c r="B10" s="328"/>
      <c r="C10" s="152">
        <v>1</v>
      </c>
      <c r="D10" s="152">
        <v>2</v>
      </c>
      <c r="E10" s="152" t="s">
        <v>130</v>
      </c>
      <c r="F10" s="152">
        <v>4</v>
      </c>
      <c r="G10" s="152">
        <v>5</v>
      </c>
      <c r="H10" s="152" t="s">
        <v>131</v>
      </c>
    </row>
    <row r="11" spans="1:29" x14ac:dyDescent="0.25">
      <c r="A11" s="154"/>
      <c r="B11" s="155"/>
      <c r="C11" s="156"/>
      <c r="D11" s="156"/>
      <c r="E11" s="156"/>
      <c r="F11" s="156"/>
      <c r="G11" s="156"/>
      <c r="H11" s="156"/>
    </row>
    <row r="12" spans="1:29" x14ac:dyDescent="0.25">
      <c r="A12" s="157"/>
      <c r="B12" s="158" t="s">
        <v>290</v>
      </c>
      <c r="C12" s="198">
        <f>SUM(COG!D82)</f>
        <v>999999999.99499989</v>
      </c>
      <c r="D12" s="198">
        <f>SUM(COG!E82)</f>
        <v>39503902.109999999</v>
      </c>
      <c r="E12" s="198">
        <f>+C12+D12</f>
        <v>1039503902.1049999</v>
      </c>
      <c r="F12" s="198">
        <f>SUM(COG!G82)</f>
        <v>1019384043.9300001</v>
      </c>
      <c r="G12" s="198">
        <f>SUM(COG!H82)</f>
        <v>989178888</v>
      </c>
      <c r="H12" s="198">
        <f>+E12-F12</f>
        <v>20119858.174999833</v>
      </c>
    </row>
    <row r="13" spans="1:29" x14ac:dyDescent="0.25">
      <c r="A13" s="157"/>
      <c r="B13" s="158" t="s">
        <v>277</v>
      </c>
      <c r="C13" s="199"/>
      <c r="D13" s="199"/>
      <c r="E13" s="199">
        <f t="shared" ref="E13:E20" si="0">+C13+D13</f>
        <v>0</v>
      </c>
      <c r="F13" s="199"/>
      <c r="G13" s="199"/>
      <c r="H13" s="199">
        <f t="shared" ref="H13:H20" si="1">+E13-F13</f>
        <v>0</v>
      </c>
    </row>
    <row r="14" spans="1:29" x14ac:dyDescent="0.25">
      <c r="A14" s="157"/>
      <c r="B14" s="158" t="s">
        <v>278</v>
      </c>
      <c r="C14" s="199"/>
      <c r="D14" s="199"/>
      <c r="E14" s="199">
        <f t="shared" si="0"/>
        <v>0</v>
      </c>
      <c r="F14" s="199"/>
      <c r="G14" s="199"/>
      <c r="H14" s="199">
        <f t="shared" si="1"/>
        <v>0</v>
      </c>
    </row>
    <row r="15" spans="1:29" x14ac:dyDescent="0.25">
      <c r="A15" s="157"/>
      <c r="B15" s="158" t="s">
        <v>279</v>
      </c>
      <c r="C15" s="199"/>
      <c r="D15" s="199"/>
      <c r="E15" s="199">
        <f t="shared" si="0"/>
        <v>0</v>
      </c>
      <c r="F15" s="199"/>
      <c r="G15" s="199"/>
      <c r="H15" s="199">
        <f t="shared" si="1"/>
        <v>0</v>
      </c>
    </row>
    <row r="16" spans="1:29" x14ac:dyDescent="0.25">
      <c r="A16" s="157"/>
      <c r="B16" s="158" t="s">
        <v>280</v>
      </c>
      <c r="C16" s="199"/>
      <c r="D16" s="199"/>
      <c r="E16" s="199">
        <f t="shared" si="0"/>
        <v>0</v>
      </c>
      <c r="F16" s="199"/>
      <c r="G16" s="199"/>
      <c r="H16" s="199">
        <f t="shared" si="1"/>
        <v>0</v>
      </c>
    </row>
    <row r="17" spans="1:29" x14ac:dyDescent="0.25">
      <c r="A17" s="157"/>
      <c r="B17" s="158" t="s">
        <v>281</v>
      </c>
      <c r="C17" s="199"/>
      <c r="D17" s="199"/>
      <c r="E17" s="199">
        <f t="shared" si="0"/>
        <v>0</v>
      </c>
      <c r="F17" s="199"/>
      <c r="G17" s="199"/>
      <c r="H17" s="199">
        <f t="shared" si="1"/>
        <v>0</v>
      </c>
    </row>
    <row r="18" spans="1:29" x14ac:dyDescent="0.25">
      <c r="A18" s="157"/>
      <c r="B18" s="158" t="s">
        <v>282</v>
      </c>
      <c r="C18" s="199"/>
      <c r="D18" s="199"/>
      <c r="E18" s="199">
        <f t="shared" si="0"/>
        <v>0</v>
      </c>
      <c r="F18" s="199"/>
      <c r="G18" s="199"/>
      <c r="H18" s="199">
        <f t="shared" si="1"/>
        <v>0</v>
      </c>
    </row>
    <row r="19" spans="1:29" x14ac:dyDescent="0.25">
      <c r="A19" s="157"/>
      <c r="B19" s="158" t="s">
        <v>283</v>
      </c>
      <c r="C19" s="199"/>
      <c r="D19" s="199"/>
      <c r="E19" s="199">
        <f t="shared" si="0"/>
        <v>0</v>
      </c>
      <c r="F19" s="199"/>
      <c r="G19" s="199"/>
      <c r="H19" s="199">
        <f t="shared" si="1"/>
        <v>0</v>
      </c>
    </row>
    <row r="20" spans="1:29" x14ac:dyDescent="0.25">
      <c r="A20" s="157"/>
      <c r="B20" s="158" t="s">
        <v>284</v>
      </c>
      <c r="C20" s="199"/>
      <c r="D20" s="199"/>
      <c r="E20" s="199">
        <f t="shared" si="0"/>
        <v>0</v>
      </c>
      <c r="F20" s="199"/>
      <c r="G20" s="199"/>
      <c r="H20" s="199">
        <f t="shared" si="1"/>
        <v>0</v>
      </c>
    </row>
    <row r="21" spans="1:29" x14ac:dyDescent="0.25">
      <c r="A21" s="159"/>
      <c r="B21" s="160"/>
      <c r="C21" s="200"/>
      <c r="D21" s="200"/>
      <c r="E21" s="200"/>
      <c r="F21" s="200"/>
      <c r="G21" s="200"/>
      <c r="H21" s="200"/>
    </row>
    <row r="22" spans="1:29" s="22" customFormat="1" x14ac:dyDescent="0.25">
      <c r="A22" s="161"/>
      <c r="B22" s="162" t="s">
        <v>132</v>
      </c>
      <c r="C22" s="201">
        <f t="shared" ref="C22:H22" si="2">SUM(C12:C20)</f>
        <v>999999999.99499989</v>
      </c>
      <c r="D22" s="201">
        <f t="shared" si="2"/>
        <v>39503902.109999999</v>
      </c>
      <c r="E22" s="201">
        <f t="shared" si="2"/>
        <v>1039503902.1049999</v>
      </c>
      <c r="F22" s="201">
        <f t="shared" si="2"/>
        <v>1019384043.9300001</v>
      </c>
      <c r="G22" s="201">
        <f t="shared" si="2"/>
        <v>989178888</v>
      </c>
      <c r="H22" s="201">
        <f t="shared" si="2"/>
        <v>20119858.174999833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workbookViewId="0">
      <selection activeCell="B19" sqref="B19:D19"/>
    </sheetView>
  </sheetViews>
  <sheetFormatPr baseColWidth="10" defaultRowHeight="12" x14ac:dyDescent="0.2"/>
  <cols>
    <col min="1" max="1" width="1.140625" style="112" customWidth="1"/>
    <col min="2" max="3" width="3.7109375" style="113" customWidth="1"/>
    <col min="4" max="4" width="54.7109375" style="113" customWidth="1"/>
    <col min="5" max="10" width="15.7109375" style="113" customWidth="1"/>
    <col min="11" max="16384" width="11.42578125" style="113"/>
  </cols>
  <sheetData>
    <row r="1" spans="1:10" ht="15.75" x14ac:dyDescent="0.25">
      <c r="B1" s="331" t="s">
        <v>466</v>
      </c>
      <c r="C1" s="331"/>
      <c r="D1" s="331"/>
      <c r="E1" s="331"/>
      <c r="F1" s="331"/>
      <c r="G1" s="331"/>
      <c r="H1" s="331"/>
      <c r="I1" s="331"/>
      <c r="J1" s="331"/>
    </row>
    <row r="2" spans="1:10" ht="15" x14ac:dyDescent="0.25">
      <c r="B2" s="332" t="s">
        <v>101</v>
      </c>
      <c r="C2" s="332"/>
      <c r="D2" s="332"/>
      <c r="E2" s="332"/>
      <c r="F2" s="332"/>
      <c r="G2" s="332"/>
      <c r="H2" s="332"/>
      <c r="I2" s="332"/>
      <c r="J2" s="332"/>
    </row>
    <row r="3" spans="1:10" ht="15" x14ac:dyDescent="0.25">
      <c r="B3" s="332" t="str">
        <f>+CAdmon!A6</f>
        <v>Del 1 de enero al 31 de diciembre de 2019</v>
      </c>
      <c r="C3" s="332"/>
      <c r="D3" s="332"/>
      <c r="E3" s="332"/>
      <c r="F3" s="332"/>
      <c r="G3" s="332"/>
      <c r="H3" s="332"/>
      <c r="I3" s="332"/>
      <c r="J3" s="332"/>
    </row>
    <row r="4" spans="1:10" ht="15" x14ac:dyDescent="0.25"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5" x14ac:dyDescent="0.25">
      <c r="B5" s="163"/>
      <c r="C5" s="163"/>
      <c r="D5" s="163"/>
      <c r="E5" s="163"/>
      <c r="F5" s="163"/>
      <c r="G5" s="163"/>
      <c r="H5" s="163"/>
      <c r="I5" s="163"/>
      <c r="J5" s="163"/>
    </row>
    <row r="6" spans="1:10" s="112" customFormat="1" x14ac:dyDescent="0.2">
      <c r="A6" s="114"/>
      <c r="B6" s="114"/>
      <c r="C6" s="114"/>
      <c r="D6" s="114"/>
      <c r="F6" s="115"/>
      <c r="G6" s="115"/>
      <c r="H6" s="115"/>
      <c r="I6" s="115"/>
      <c r="J6" s="115"/>
    </row>
    <row r="7" spans="1:10" ht="12" customHeight="1" x14ac:dyDescent="0.2">
      <c r="A7" s="116"/>
      <c r="B7" s="334" t="s">
        <v>102</v>
      </c>
      <c r="C7" s="334"/>
      <c r="D7" s="334"/>
      <c r="E7" s="334" t="s">
        <v>103</v>
      </c>
      <c r="F7" s="334"/>
      <c r="G7" s="334"/>
      <c r="H7" s="334"/>
      <c r="I7" s="334"/>
      <c r="J7" s="335" t="s">
        <v>104</v>
      </c>
    </row>
    <row r="8" spans="1:10" ht="24" x14ac:dyDescent="0.2">
      <c r="A8" s="114"/>
      <c r="B8" s="334"/>
      <c r="C8" s="334"/>
      <c r="D8" s="334"/>
      <c r="E8" s="164" t="s">
        <v>105</v>
      </c>
      <c r="F8" s="165" t="s">
        <v>106</v>
      </c>
      <c r="G8" s="164" t="s">
        <v>107</v>
      </c>
      <c r="H8" s="164" t="s">
        <v>108</v>
      </c>
      <c r="I8" s="164" t="s">
        <v>109</v>
      </c>
      <c r="J8" s="335"/>
    </row>
    <row r="9" spans="1:10" ht="12" customHeight="1" x14ac:dyDescent="0.2">
      <c r="A9" s="114"/>
      <c r="B9" s="334"/>
      <c r="C9" s="334"/>
      <c r="D9" s="334"/>
      <c r="E9" s="164" t="s">
        <v>110</v>
      </c>
      <c r="F9" s="164" t="s">
        <v>111</v>
      </c>
      <c r="G9" s="164" t="s">
        <v>112</v>
      </c>
      <c r="H9" s="164" t="s">
        <v>113</v>
      </c>
      <c r="I9" s="164" t="s">
        <v>114</v>
      </c>
      <c r="J9" s="164" t="s">
        <v>122</v>
      </c>
    </row>
    <row r="10" spans="1:10" ht="12" customHeight="1" x14ac:dyDescent="0.2">
      <c r="A10" s="117"/>
      <c r="B10" s="118"/>
      <c r="C10" s="119"/>
      <c r="D10" s="120"/>
      <c r="E10" s="121"/>
      <c r="F10" s="122"/>
      <c r="G10" s="122"/>
      <c r="H10" s="122"/>
      <c r="I10" s="122"/>
      <c r="J10" s="122"/>
    </row>
    <row r="11" spans="1:10" ht="12" customHeight="1" x14ac:dyDescent="0.2">
      <c r="A11" s="117"/>
      <c r="B11" s="336" t="s">
        <v>75</v>
      </c>
      <c r="C11" s="337"/>
      <c r="D11" s="338"/>
      <c r="E11" s="248">
        <v>0</v>
      </c>
      <c r="F11" s="248">
        <v>0</v>
      </c>
      <c r="G11" s="248">
        <f>+E11+F11</f>
        <v>0</v>
      </c>
      <c r="H11" s="248">
        <v>0</v>
      </c>
      <c r="I11" s="248">
        <v>0</v>
      </c>
      <c r="J11" s="248">
        <f>+I11-E11</f>
        <v>0</v>
      </c>
    </row>
    <row r="12" spans="1:10" ht="12" customHeight="1" x14ac:dyDescent="0.2">
      <c r="A12" s="117"/>
      <c r="B12" s="336" t="s">
        <v>100</v>
      </c>
      <c r="C12" s="337"/>
      <c r="D12" s="338"/>
      <c r="E12" s="248">
        <v>0</v>
      </c>
      <c r="F12" s="248">
        <v>0</v>
      </c>
      <c r="G12" s="248">
        <f t="shared" ref="G12:G20" si="0">+E12+F12</f>
        <v>0</v>
      </c>
      <c r="H12" s="248">
        <v>0</v>
      </c>
      <c r="I12" s="248">
        <v>0</v>
      </c>
      <c r="J12" s="248">
        <f t="shared" ref="J12:J20" si="1">+I12-E12</f>
        <v>0</v>
      </c>
    </row>
    <row r="13" spans="1:10" ht="12" customHeight="1" x14ac:dyDescent="0.2">
      <c r="A13" s="117"/>
      <c r="B13" s="336" t="s">
        <v>77</v>
      </c>
      <c r="C13" s="337"/>
      <c r="D13" s="338"/>
      <c r="E13" s="248">
        <v>0</v>
      </c>
      <c r="F13" s="248">
        <v>0</v>
      </c>
      <c r="G13" s="248">
        <f t="shared" si="0"/>
        <v>0</v>
      </c>
      <c r="H13" s="248">
        <v>0</v>
      </c>
      <c r="I13" s="248">
        <v>0</v>
      </c>
      <c r="J13" s="248">
        <f t="shared" si="1"/>
        <v>0</v>
      </c>
    </row>
    <row r="14" spans="1:10" ht="12" customHeight="1" x14ac:dyDescent="0.2">
      <c r="A14" s="117"/>
      <c r="B14" s="336" t="s">
        <v>79</v>
      </c>
      <c r="C14" s="337"/>
      <c r="D14" s="338"/>
      <c r="E14" s="248">
        <v>0</v>
      </c>
      <c r="F14" s="248">
        <v>4382361.07</v>
      </c>
      <c r="G14" s="248">
        <f t="shared" si="0"/>
        <v>4382361.07</v>
      </c>
      <c r="H14" s="248">
        <v>4382361.07</v>
      </c>
      <c r="I14" s="248">
        <v>4382361.07</v>
      </c>
      <c r="J14" s="248">
        <f t="shared" si="1"/>
        <v>4382361.07</v>
      </c>
    </row>
    <row r="15" spans="1:10" ht="12" customHeight="1" x14ac:dyDescent="0.2">
      <c r="A15" s="117"/>
      <c r="B15" s="336" t="s">
        <v>115</v>
      </c>
      <c r="C15" s="337"/>
      <c r="D15" s="338"/>
      <c r="E15" s="249">
        <v>0</v>
      </c>
      <c r="F15" s="248">
        <v>0</v>
      </c>
      <c r="G15" s="248">
        <f t="shared" si="0"/>
        <v>0</v>
      </c>
      <c r="H15" s="249"/>
      <c r="I15" s="249"/>
      <c r="J15" s="249">
        <v>0</v>
      </c>
    </row>
    <row r="16" spans="1:10" ht="12" customHeight="1" x14ac:dyDescent="0.2">
      <c r="A16" s="117"/>
      <c r="B16" s="336" t="s">
        <v>116</v>
      </c>
      <c r="C16" s="337"/>
      <c r="D16" s="338"/>
      <c r="E16" s="249">
        <v>0</v>
      </c>
      <c r="F16" s="248">
        <v>0</v>
      </c>
      <c r="G16" s="249">
        <f t="shared" si="0"/>
        <v>0</v>
      </c>
      <c r="H16" s="249"/>
      <c r="I16" s="249"/>
      <c r="J16" s="248">
        <f t="shared" si="1"/>
        <v>0</v>
      </c>
    </row>
    <row r="17" spans="1:10" s="112" customFormat="1" x14ac:dyDescent="0.2">
      <c r="A17" s="117"/>
      <c r="B17" s="336" t="s">
        <v>575</v>
      </c>
      <c r="C17" s="337"/>
      <c r="D17" s="338"/>
      <c r="E17" s="249">
        <v>1501534.83</v>
      </c>
      <c r="F17" s="248">
        <v>0</v>
      </c>
      <c r="G17" s="249">
        <f t="shared" si="0"/>
        <v>1501534.83</v>
      </c>
      <c r="H17" s="249">
        <v>1279480.97</v>
      </c>
      <c r="I17" s="249">
        <v>1279480.97</v>
      </c>
      <c r="J17" s="249">
        <f t="shared" si="1"/>
        <v>-222053.8600000001</v>
      </c>
    </row>
    <row r="18" spans="1:10" ht="30" customHeight="1" x14ac:dyDescent="0.2">
      <c r="A18" s="117"/>
      <c r="B18" s="336" t="s">
        <v>571</v>
      </c>
      <c r="C18" s="337"/>
      <c r="D18" s="338"/>
      <c r="E18" s="249">
        <v>0</v>
      </c>
      <c r="F18" s="248">
        <v>0</v>
      </c>
      <c r="G18" s="249">
        <f t="shared" si="0"/>
        <v>0</v>
      </c>
      <c r="H18" s="249"/>
      <c r="I18" s="249"/>
      <c r="J18" s="248">
        <f t="shared" si="1"/>
        <v>0</v>
      </c>
    </row>
    <row r="19" spans="1:10" s="112" customFormat="1" ht="24" customHeight="1" x14ac:dyDescent="0.2">
      <c r="A19" s="117"/>
      <c r="B19" s="336" t="s">
        <v>551</v>
      </c>
      <c r="C19" s="337"/>
      <c r="D19" s="338"/>
      <c r="E19" s="249">
        <v>1000000000</v>
      </c>
      <c r="F19" s="248">
        <v>39472033.990000002</v>
      </c>
      <c r="G19" s="249">
        <f t="shared" si="0"/>
        <v>1039472033.99</v>
      </c>
      <c r="H19" s="249">
        <v>1039472033.96</v>
      </c>
      <c r="I19" s="249">
        <v>898267825.25</v>
      </c>
      <c r="J19" s="249">
        <f t="shared" si="1"/>
        <v>-101732174.75</v>
      </c>
    </row>
    <row r="20" spans="1:10" s="112" customFormat="1" ht="12" customHeight="1" x14ac:dyDescent="0.2">
      <c r="A20" s="117"/>
      <c r="B20" s="336" t="s">
        <v>118</v>
      </c>
      <c r="C20" s="337"/>
      <c r="D20" s="338"/>
      <c r="E20" s="248">
        <v>0</v>
      </c>
      <c r="F20" s="248">
        <v>0</v>
      </c>
      <c r="G20" s="248">
        <f t="shared" si="0"/>
        <v>0</v>
      </c>
      <c r="H20" s="248">
        <v>0</v>
      </c>
      <c r="I20" s="248">
        <v>0</v>
      </c>
      <c r="J20" s="248">
        <f t="shared" si="1"/>
        <v>0</v>
      </c>
    </row>
    <row r="21" spans="1:10" ht="12" customHeight="1" x14ac:dyDescent="0.2">
      <c r="A21" s="117"/>
      <c r="B21" s="123"/>
      <c r="C21" s="124"/>
      <c r="D21" s="125"/>
      <c r="E21" s="203"/>
      <c r="F21" s="204"/>
      <c r="G21" s="204"/>
      <c r="H21" s="204"/>
      <c r="I21" s="204"/>
      <c r="J21" s="204"/>
    </row>
    <row r="22" spans="1:10" ht="12" customHeight="1" x14ac:dyDescent="0.2">
      <c r="A22" s="114"/>
      <c r="B22" s="126"/>
      <c r="C22" s="127"/>
      <c r="D22" s="128" t="s">
        <v>119</v>
      </c>
      <c r="E22" s="202">
        <f>SUM(E11+E12+E13+E14+E15+E16+E17+E18+E19+E20)</f>
        <v>1001501534.83</v>
      </c>
      <c r="F22" s="202">
        <f>SUM(F11+F12+F13+F14+F15+F16+F17+F18+F19+F20)</f>
        <v>43854395.060000002</v>
      </c>
      <c r="G22" s="202">
        <f>SUM(G11+G12+G13+G14+G15+G16+G17+G18+G19+G20)</f>
        <v>1045355929.89</v>
      </c>
      <c r="H22" s="202">
        <f>SUM(H11+H12+H13+H14+H15+H16+H17+H18+H19+H20)</f>
        <v>1045133876</v>
      </c>
      <c r="I22" s="202">
        <f>SUM(I11+I12+I13+I14+I15+I16+I17+I18+I19+I20)</f>
        <v>903929667.28999996</v>
      </c>
      <c r="J22" s="339">
        <f>SUM(J19,J17,J14)</f>
        <v>-97571867.539999992</v>
      </c>
    </row>
    <row r="23" spans="1:10" ht="12" customHeight="1" x14ac:dyDescent="0.2">
      <c r="A23" s="117"/>
      <c r="B23" s="129"/>
      <c r="C23" s="129"/>
      <c r="D23" s="129"/>
      <c r="E23" s="129"/>
      <c r="F23" s="129"/>
      <c r="G23" s="129"/>
      <c r="H23" s="341" t="s">
        <v>289</v>
      </c>
      <c r="I23" s="342"/>
      <c r="J23" s="340"/>
    </row>
    <row r="24" spans="1:10" ht="12" customHeight="1" x14ac:dyDescent="0.2">
      <c r="A24" s="114"/>
      <c r="B24" s="114"/>
      <c r="C24" s="114"/>
      <c r="D24" s="114"/>
      <c r="E24" s="115"/>
      <c r="F24" s="115"/>
      <c r="G24" s="115"/>
      <c r="H24" s="115"/>
      <c r="I24" s="115"/>
      <c r="J24" s="115"/>
    </row>
    <row r="25" spans="1:10" ht="12" customHeight="1" x14ac:dyDescent="0.2">
      <c r="A25" s="114"/>
      <c r="B25" s="335" t="s">
        <v>120</v>
      </c>
      <c r="C25" s="335"/>
      <c r="D25" s="335"/>
      <c r="E25" s="334" t="s">
        <v>103</v>
      </c>
      <c r="F25" s="334"/>
      <c r="G25" s="334"/>
      <c r="H25" s="334"/>
      <c r="I25" s="334"/>
      <c r="J25" s="335" t="s">
        <v>104</v>
      </c>
    </row>
    <row r="26" spans="1:10" ht="24" x14ac:dyDescent="0.2">
      <c r="A26" s="114"/>
      <c r="B26" s="335"/>
      <c r="C26" s="335"/>
      <c r="D26" s="335"/>
      <c r="E26" s="164" t="s">
        <v>105</v>
      </c>
      <c r="F26" s="165" t="s">
        <v>106</v>
      </c>
      <c r="G26" s="164" t="s">
        <v>107</v>
      </c>
      <c r="H26" s="164" t="s">
        <v>108</v>
      </c>
      <c r="I26" s="164" t="s">
        <v>109</v>
      </c>
      <c r="J26" s="335"/>
    </row>
    <row r="27" spans="1:10" ht="12" customHeight="1" x14ac:dyDescent="0.2">
      <c r="A27" s="114"/>
      <c r="B27" s="335"/>
      <c r="C27" s="335"/>
      <c r="D27" s="335"/>
      <c r="E27" s="164" t="s">
        <v>110</v>
      </c>
      <c r="F27" s="164" t="s">
        <v>111</v>
      </c>
      <c r="G27" s="164" t="s">
        <v>112</v>
      </c>
      <c r="H27" s="164" t="s">
        <v>113</v>
      </c>
      <c r="I27" s="164" t="s">
        <v>114</v>
      </c>
      <c r="J27" s="164" t="s">
        <v>122</v>
      </c>
    </row>
    <row r="28" spans="1:10" ht="12" customHeight="1" x14ac:dyDescent="0.2">
      <c r="A28" s="117"/>
      <c r="B28" s="118"/>
      <c r="C28" s="119"/>
      <c r="D28" s="120"/>
      <c r="E28" s="122"/>
      <c r="F28" s="122"/>
      <c r="G28" s="122"/>
      <c r="H28" s="122"/>
      <c r="I28" s="122"/>
      <c r="J28" s="122"/>
    </row>
    <row r="29" spans="1:10" ht="12" customHeight="1" x14ac:dyDescent="0.2">
      <c r="A29" s="117"/>
      <c r="B29" s="243" t="s">
        <v>552</v>
      </c>
      <c r="C29" s="244"/>
      <c r="D29" s="245"/>
      <c r="E29" s="246">
        <f t="shared" ref="E29:J29" si="2">+E30+E32+E33+E34+E35+E36+E37</f>
        <v>0</v>
      </c>
      <c r="F29" s="246">
        <f t="shared" si="2"/>
        <v>4382361.07</v>
      </c>
      <c r="G29" s="246">
        <f t="shared" si="2"/>
        <v>4382361.07</v>
      </c>
      <c r="H29" s="246">
        <f t="shared" si="2"/>
        <v>4382361.07</v>
      </c>
      <c r="I29" s="246">
        <f t="shared" si="2"/>
        <v>4382361.07</v>
      </c>
      <c r="J29" s="246">
        <f t="shared" si="2"/>
        <v>4382361.07</v>
      </c>
    </row>
    <row r="30" spans="1:10" ht="12" customHeight="1" x14ac:dyDescent="0.2">
      <c r="A30" s="117"/>
      <c r="B30" s="247"/>
      <c r="C30" s="337" t="s">
        <v>75</v>
      </c>
      <c r="D30" s="338"/>
      <c r="E30" s="248">
        <v>0</v>
      </c>
      <c r="F30" s="248">
        <v>0</v>
      </c>
      <c r="G30" s="248">
        <f>+E30+F30</f>
        <v>0</v>
      </c>
      <c r="H30" s="248">
        <v>0</v>
      </c>
      <c r="I30" s="248">
        <v>0</v>
      </c>
      <c r="J30" s="248">
        <f>+I30-E30</f>
        <v>0</v>
      </c>
    </row>
    <row r="31" spans="1:10" ht="12" customHeight="1" x14ac:dyDescent="0.2">
      <c r="A31" s="117"/>
      <c r="B31" s="247"/>
      <c r="C31" s="337" t="s">
        <v>553</v>
      </c>
      <c r="D31" s="338"/>
      <c r="E31" s="248"/>
      <c r="F31" s="248"/>
      <c r="G31" s="248"/>
      <c r="H31" s="248"/>
      <c r="I31" s="248"/>
      <c r="J31" s="248"/>
    </row>
    <row r="32" spans="1:10" ht="12" customHeight="1" x14ac:dyDescent="0.2">
      <c r="A32" s="117"/>
      <c r="B32" s="247"/>
      <c r="C32" s="337" t="s">
        <v>77</v>
      </c>
      <c r="D32" s="338"/>
      <c r="E32" s="248">
        <v>0</v>
      </c>
      <c r="F32" s="248">
        <v>0</v>
      </c>
      <c r="G32" s="248">
        <f t="shared" ref="G32:G43" si="3">+E32+F32</f>
        <v>0</v>
      </c>
      <c r="H32" s="248">
        <v>0</v>
      </c>
      <c r="I32" s="248">
        <v>0</v>
      </c>
      <c r="J32" s="248">
        <f t="shared" ref="J32:J46" si="4">+I32-E32</f>
        <v>0</v>
      </c>
    </row>
    <row r="33" spans="1:11" ht="12" customHeight="1" x14ac:dyDescent="0.2">
      <c r="A33" s="117"/>
      <c r="B33" s="247"/>
      <c r="C33" s="337" t="s">
        <v>79</v>
      </c>
      <c r="D33" s="338"/>
      <c r="E33" s="248">
        <f>E14</f>
        <v>0</v>
      </c>
      <c r="F33" s="248">
        <f>F14</f>
        <v>4382361.07</v>
      </c>
      <c r="G33" s="248">
        <f t="shared" si="3"/>
        <v>4382361.07</v>
      </c>
      <c r="H33" s="248">
        <f>H14</f>
        <v>4382361.07</v>
      </c>
      <c r="I33" s="248">
        <f>I14</f>
        <v>4382361.07</v>
      </c>
      <c r="J33" s="248">
        <f t="shared" si="4"/>
        <v>4382361.07</v>
      </c>
    </row>
    <row r="34" spans="1:11" ht="12" customHeight="1" x14ac:dyDescent="0.2">
      <c r="A34" s="117"/>
      <c r="B34" s="247"/>
      <c r="C34" s="337" t="s">
        <v>554</v>
      </c>
      <c r="D34" s="338"/>
      <c r="E34" s="249">
        <v>0</v>
      </c>
      <c r="F34" s="248">
        <v>0</v>
      </c>
      <c r="G34" s="249">
        <f t="shared" si="3"/>
        <v>0</v>
      </c>
      <c r="H34" s="249">
        <v>0</v>
      </c>
      <c r="I34" s="249">
        <v>0</v>
      </c>
      <c r="J34" s="249">
        <f t="shared" si="4"/>
        <v>0</v>
      </c>
    </row>
    <row r="35" spans="1:11" ht="12" customHeight="1" x14ac:dyDescent="0.2">
      <c r="A35" s="117"/>
      <c r="B35" s="247"/>
      <c r="C35" s="337" t="s">
        <v>555</v>
      </c>
      <c r="D35" s="338"/>
      <c r="E35" s="248">
        <v>0</v>
      </c>
      <c r="F35" s="248">
        <v>0</v>
      </c>
      <c r="G35" s="249">
        <f t="shared" si="3"/>
        <v>0</v>
      </c>
      <c r="H35" s="248">
        <v>0</v>
      </c>
      <c r="I35" s="248">
        <v>0</v>
      </c>
      <c r="J35" s="248">
        <f t="shared" si="4"/>
        <v>0</v>
      </c>
    </row>
    <row r="36" spans="1:11" s="112" customFormat="1" ht="30.75" customHeight="1" x14ac:dyDescent="0.2">
      <c r="A36" s="117"/>
      <c r="B36" s="247"/>
      <c r="C36" s="337" t="s">
        <v>571</v>
      </c>
      <c r="D36" s="338"/>
      <c r="E36" s="248">
        <v>0</v>
      </c>
      <c r="F36" s="248">
        <v>0</v>
      </c>
      <c r="G36" s="248">
        <f t="shared" si="3"/>
        <v>0</v>
      </c>
      <c r="H36" s="248">
        <v>0</v>
      </c>
      <c r="I36" s="248">
        <v>0</v>
      </c>
      <c r="J36" s="248">
        <f t="shared" si="4"/>
        <v>0</v>
      </c>
    </row>
    <row r="37" spans="1:11" s="112" customFormat="1" ht="12" customHeight="1" x14ac:dyDescent="0.2">
      <c r="A37" s="117"/>
      <c r="B37" s="247"/>
      <c r="C37" s="337" t="s">
        <v>117</v>
      </c>
      <c r="D37" s="338"/>
      <c r="E37" s="249"/>
      <c r="F37" s="249"/>
      <c r="G37" s="249">
        <f t="shared" si="3"/>
        <v>0</v>
      </c>
      <c r="H37" s="249">
        <v>0</v>
      </c>
      <c r="I37" s="249">
        <v>0</v>
      </c>
      <c r="J37" s="249">
        <f t="shared" si="4"/>
        <v>0</v>
      </c>
    </row>
    <row r="38" spans="1:11" ht="12" customHeight="1" x14ac:dyDescent="0.2">
      <c r="A38" s="117"/>
      <c r="B38" s="247"/>
      <c r="C38" s="250"/>
      <c r="D38" s="251"/>
      <c r="E38" s="248"/>
      <c r="F38" s="248"/>
      <c r="G38" s="252"/>
      <c r="H38" s="248"/>
      <c r="I38" s="248"/>
      <c r="J38" s="248"/>
    </row>
    <row r="39" spans="1:11" ht="40.5" customHeight="1" x14ac:dyDescent="0.2">
      <c r="A39" s="117"/>
      <c r="B39" s="347" t="s">
        <v>572</v>
      </c>
      <c r="C39" s="348"/>
      <c r="D39" s="349"/>
      <c r="E39" s="246">
        <f>+E40+E42+E43</f>
        <v>1001501534.83</v>
      </c>
      <c r="F39" s="246">
        <f>+F40+F42+F43</f>
        <v>39472033.990000002</v>
      </c>
      <c r="G39" s="246">
        <f>+G40+G42+G43</f>
        <v>1040973568.8200001</v>
      </c>
      <c r="H39" s="246">
        <f>+H40+H42+H43</f>
        <v>1040751514.9300001</v>
      </c>
      <c r="I39" s="246">
        <f>+I40+I42+I43</f>
        <v>899547306.22000003</v>
      </c>
      <c r="J39" s="246">
        <f t="shared" si="4"/>
        <v>-101954228.61000001</v>
      </c>
    </row>
    <row r="40" spans="1:11" ht="12" customHeight="1" x14ac:dyDescent="0.2">
      <c r="A40" s="117"/>
      <c r="B40" s="243"/>
      <c r="C40" s="337" t="s">
        <v>100</v>
      </c>
      <c r="D40" s="338"/>
      <c r="E40" s="248">
        <v>0</v>
      </c>
      <c r="F40" s="248">
        <v>0</v>
      </c>
      <c r="G40" s="248">
        <f t="shared" si="3"/>
        <v>0</v>
      </c>
      <c r="H40" s="248">
        <v>0</v>
      </c>
      <c r="I40" s="248">
        <v>0</v>
      </c>
      <c r="J40" s="248">
        <f t="shared" si="4"/>
        <v>0</v>
      </c>
    </row>
    <row r="41" spans="1:11" ht="12" customHeight="1" x14ac:dyDescent="0.2">
      <c r="A41" s="117"/>
      <c r="B41" s="243"/>
      <c r="C41" s="337" t="s">
        <v>554</v>
      </c>
      <c r="D41" s="338"/>
      <c r="E41" s="248"/>
      <c r="F41" s="248"/>
      <c r="G41" s="248"/>
      <c r="H41" s="248"/>
      <c r="I41" s="248"/>
      <c r="J41" s="248"/>
    </row>
    <row r="42" spans="1:11" x14ac:dyDescent="0.2">
      <c r="A42" s="117"/>
      <c r="B42" s="247"/>
      <c r="C42" s="337" t="s">
        <v>573</v>
      </c>
      <c r="D42" s="338"/>
      <c r="E42" s="249">
        <f>E17</f>
        <v>1501534.83</v>
      </c>
      <c r="F42" s="249">
        <f t="shared" ref="F42:J42" si="5">F17</f>
        <v>0</v>
      </c>
      <c r="G42" s="249">
        <f t="shared" si="5"/>
        <v>1501534.83</v>
      </c>
      <c r="H42" s="249">
        <f t="shared" si="5"/>
        <v>1279480.97</v>
      </c>
      <c r="I42" s="249">
        <f t="shared" si="5"/>
        <v>1279480.97</v>
      </c>
      <c r="J42" s="249">
        <f t="shared" si="5"/>
        <v>-222053.8600000001</v>
      </c>
    </row>
    <row r="43" spans="1:11" ht="25.5" customHeight="1" x14ac:dyDescent="0.2">
      <c r="A43" s="117"/>
      <c r="B43" s="247"/>
      <c r="C43" s="337" t="s">
        <v>551</v>
      </c>
      <c r="D43" s="338"/>
      <c r="E43" s="249">
        <f>E19</f>
        <v>1000000000</v>
      </c>
      <c r="F43" s="249">
        <f>F19</f>
        <v>39472033.990000002</v>
      </c>
      <c r="G43" s="249">
        <f t="shared" si="3"/>
        <v>1039472033.99</v>
      </c>
      <c r="H43" s="249">
        <f t="shared" ref="H43:J43" si="6">H19</f>
        <v>1039472033.96</v>
      </c>
      <c r="I43" s="249">
        <f t="shared" si="6"/>
        <v>898267825.25</v>
      </c>
      <c r="J43" s="249">
        <f t="shared" si="6"/>
        <v>-101732174.75</v>
      </c>
    </row>
    <row r="44" spans="1:11" s="130" customFormat="1" ht="12" customHeight="1" x14ac:dyDescent="0.2">
      <c r="A44" s="114"/>
      <c r="B44" s="253"/>
      <c r="C44" s="254"/>
      <c r="D44" s="255"/>
      <c r="E44" s="256"/>
      <c r="F44" s="256"/>
      <c r="G44" s="256"/>
      <c r="H44" s="256"/>
      <c r="I44" s="256"/>
      <c r="J44" s="256"/>
    </row>
    <row r="45" spans="1:11" ht="12" customHeight="1" x14ac:dyDescent="0.2">
      <c r="A45" s="117"/>
      <c r="B45" s="243" t="s">
        <v>121</v>
      </c>
      <c r="C45" s="257"/>
      <c r="D45" s="251"/>
      <c r="E45" s="258">
        <f>+E46</f>
        <v>0</v>
      </c>
      <c r="F45" s="258">
        <f>+F46</f>
        <v>0</v>
      </c>
      <c r="G45" s="258">
        <f>+G46</f>
        <v>0</v>
      </c>
      <c r="H45" s="258">
        <f>+H46</f>
        <v>0</v>
      </c>
      <c r="I45" s="258">
        <f>+I46</f>
        <v>0</v>
      </c>
      <c r="J45" s="258">
        <f t="shared" si="4"/>
        <v>0</v>
      </c>
    </row>
    <row r="46" spans="1:11" ht="12" customHeight="1" x14ac:dyDescent="0.2">
      <c r="A46" s="117"/>
      <c r="B46" s="247"/>
      <c r="C46" s="337" t="s">
        <v>118</v>
      </c>
      <c r="D46" s="338"/>
      <c r="E46" s="248">
        <v>0</v>
      </c>
      <c r="F46" s="248">
        <v>0</v>
      </c>
      <c r="G46" s="248">
        <f>+E46+F46</f>
        <v>0</v>
      </c>
      <c r="H46" s="248">
        <v>0</v>
      </c>
      <c r="I46" s="248">
        <v>0</v>
      </c>
      <c r="J46" s="248">
        <f t="shared" si="4"/>
        <v>0</v>
      </c>
      <c r="K46" s="140"/>
    </row>
    <row r="47" spans="1:11" ht="12" customHeight="1" x14ac:dyDescent="0.2">
      <c r="A47" s="117"/>
      <c r="B47" s="123"/>
      <c r="C47" s="124"/>
      <c r="D47" s="125"/>
      <c r="E47" s="137"/>
      <c r="F47" s="137"/>
      <c r="G47" s="137"/>
      <c r="H47" s="137"/>
      <c r="I47" s="137"/>
      <c r="J47" s="137"/>
    </row>
    <row r="48" spans="1:11" ht="12" customHeight="1" x14ac:dyDescent="0.2">
      <c r="A48" s="114"/>
      <c r="B48" s="126"/>
      <c r="C48" s="127"/>
      <c r="D48" s="131" t="s">
        <v>119</v>
      </c>
      <c r="E48" s="205">
        <f>+E30+E32+E33+E34+E35+E36+E37+E39+E45</f>
        <v>1001501534.83</v>
      </c>
      <c r="F48" s="205">
        <f>+F30+F32+F33+F34+F35+F36+F37+F39+F45</f>
        <v>43854395.060000002</v>
      </c>
      <c r="G48" s="205">
        <f>+G30+G32+G33+G34+G35+G36+G37+G39+G45</f>
        <v>1045355929.8900001</v>
      </c>
      <c r="H48" s="205">
        <f>+H30+H32+H33+H34+H35+H36+H37+H39+H45</f>
        <v>1045133876.0000001</v>
      </c>
      <c r="I48" s="205">
        <f>+I30+I32+I33+I34+I35+I36+I37+I39+I45</f>
        <v>903929667.29000008</v>
      </c>
      <c r="J48" s="343">
        <f>+J29+J39+J45</f>
        <v>-97571867.540000021</v>
      </c>
    </row>
    <row r="49" spans="1:10" ht="12" customHeight="1" x14ac:dyDescent="0.2">
      <c r="A49" s="117"/>
      <c r="B49" s="129"/>
      <c r="C49" s="129"/>
      <c r="D49" s="129"/>
      <c r="E49" s="138"/>
      <c r="F49" s="138"/>
      <c r="G49" s="138"/>
      <c r="H49" s="345" t="s">
        <v>289</v>
      </c>
      <c r="I49" s="346"/>
      <c r="J49" s="344"/>
    </row>
    <row r="50" spans="1:10" x14ac:dyDescent="0.2">
      <c r="B50" s="112" t="s">
        <v>556</v>
      </c>
      <c r="C50" s="112"/>
      <c r="D50" s="112"/>
      <c r="E50" s="112"/>
      <c r="F50" s="112"/>
      <c r="G50" s="112"/>
      <c r="H50" s="112"/>
      <c r="I50" s="112"/>
      <c r="J50" s="112"/>
    </row>
    <row r="51" spans="1:10" ht="13.5" x14ac:dyDescent="0.2">
      <c r="B51" s="112" t="s">
        <v>557</v>
      </c>
      <c r="C51" s="112"/>
      <c r="D51" s="112"/>
      <c r="E51" s="112"/>
      <c r="F51" s="112"/>
      <c r="G51" s="112"/>
      <c r="H51" s="112"/>
      <c r="I51" s="112"/>
      <c r="J51" s="112"/>
    </row>
    <row r="52" spans="1:10" ht="26.25" customHeight="1" x14ac:dyDescent="0.2">
      <c r="B52" s="333" t="s">
        <v>574</v>
      </c>
      <c r="C52" s="333"/>
      <c r="D52" s="333"/>
      <c r="E52" s="333"/>
      <c r="F52" s="333"/>
      <c r="G52" s="333"/>
      <c r="H52" s="333"/>
      <c r="I52" s="333"/>
      <c r="J52" s="333"/>
    </row>
  </sheetData>
  <mergeCells count="38"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  <mergeCell ref="C30:D30"/>
    <mergeCell ref="C32:D32"/>
    <mergeCell ref="C33:D33"/>
    <mergeCell ref="C34:D34"/>
    <mergeCell ref="C35:D35"/>
    <mergeCell ref="C31:D31"/>
    <mergeCell ref="B19:D19"/>
    <mergeCell ref="B20:D20"/>
    <mergeCell ref="J22:J23"/>
    <mergeCell ref="H23:I23"/>
    <mergeCell ref="B25:D27"/>
    <mergeCell ref="E25:I25"/>
    <mergeCell ref="J25:J26"/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4" workbookViewId="0">
      <selection activeCell="C35" sqref="C3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50"/>
      <c r="C1" s="350"/>
      <c r="D1" s="350"/>
      <c r="E1" s="350"/>
      <c r="F1" s="350"/>
      <c r="G1" s="350"/>
      <c r="H1" s="350"/>
      <c r="I1" s="350"/>
    </row>
    <row r="2" spans="2:9" ht="15.75" x14ac:dyDescent="0.25">
      <c r="B2" s="331" t="s">
        <v>466</v>
      </c>
      <c r="C2" s="331"/>
      <c r="D2" s="331"/>
      <c r="E2" s="331"/>
      <c r="F2" s="331"/>
      <c r="G2" s="331"/>
      <c r="H2" s="331"/>
      <c r="I2" s="331"/>
    </row>
    <row r="3" spans="2:9" x14ac:dyDescent="0.25">
      <c r="B3" s="332" t="s">
        <v>123</v>
      </c>
      <c r="C3" s="332"/>
      <c r="D3" s="332"/>
      <c r="E3" s="332"/>
      <c r="F3" s="332"/>
      <c r="G3" s="332"/>
      <c r="H3" s="332"/>
      <c r="I3" s="332"/>
    </row>
    <row r="4" spans="2:9" x14ac:dyDescent="0.25">
      <c r="B4" s="332" t="s">
        <v>133</v>
      </c>
      <c r="C4" s="332"/>
      <c r="D4" s="332"/>
      <c r="E4" s="332"/>
      <c r="F4" s="332"/>
      <c r="G4" s="332"/>
      <c r="H4" s="332"/>
      <c r="I4" s="332"/>
    </row>
    <row r="5" spans="2:9" x14ac:dyDescent="0.25">
      <c r="B5" s="332" t="str">
        <f>+EAI!B3</f>
        <v>Del 1 de enero al 31 de diciembre de 2019</v>
      </c>
      <c r="C5" s="332"/>
      <c r="D5" s="332"/>
      <c r="E5" s="332"/>
      <c r="F5" s="332"/>
      <c r="G5" s="332"/>
      <c r="H5" s="332"/>
      <c r="I5" s="332"/>
    </row>
    <row r="6" spans="2:9" x14ac:dyDescent="0.25">
      <c r="B6" s="351"/>
      <c r="C6" s="351"/>
      <c r="D6" s="351"/>
      <c r="E6" s="351"/>
      <c r="F6" s="351"/>
      <c r="G6" s="351"/>
      <c r="H6" s="351"/>
      <c r="I6" s="351"/>
    </row>
    <row r="7" spans="2:9" x14ac:dyDescent="0.25">
      <c r="B7" s="352" t="s">
        <v>73</v>
      </c>
      <c r="C7" s="353"/>
      <c r="D7" s="329" t="s">
        <v>134</v>
      </c>
      <c r="E7" s="329"/>
      <c r="F7" s="329"/>
      <c r="G7" s="329"/>
      <c r="H7" s="329"/>
      <c r="I7" s="329" t="s">
        <v>126</v>
      </c>
    </row>
    <row r="8" spans="2:9" ht="22.5" x14ac:dyDescent="0.25">
      <c r="B8" s="354"/>
      <c r="C8" s="355"/>
      <c r="D8" s="152" t="s">
        <v>127</v>
      </c>
      <c r="E8" s="152" t="s">
        <v>128</v>
      </c>
      <c r="F8" s="152" t="s">
        <v>107</v>
      </c>
      <c r="G8" s="152" t="s">
        <v>108</v>
      </c>
      <c r="H8" s="152" t="s">
        <v>129</v>
      </c>
      <c r="I8" s="329"/>
    </row>
    <row r="9" spans="2:9" x14ac:dyDescent="0.25">
      <c r="B9" s="356"/>
      <c r="C9" s="357"/>
      <c r="D9" s="152">
        <v>1</v>
      </c>
      <c r="E9" s="152">
        <v>2</v>
      </c>
      <c r="F9" s="152" t="s">
        <v>130</v>
      </c>
      <c r="G9" s="152">
        <v>4</v>
      </c>
      <c r="H9" s="152">
        <v>5</v>
      </c>
      <c r="I9" s="152" t="s">
        <v>131</v>
      </c>
    </row>
    <row r="10" spans="2:9" x14ac:dyDescent="0.25">
      <c r="B10" s="23"/>
      <c r="C10" s="24"/>
      <c r="D10" s="148"/>
      <c r="E10" s="148"/>
      <c r="F10" s="148"/>
      <c r="G10" s="148"/>
      <c r="H10" s="148"/>
      <c r="I10" s="148"/>
    </row>
    <row r="11" spans="2:9" x14ac:dyDescent="0.25">
      <c r="B11" s="19"/>
      <c r="C11" s="26" t="s">
        <v>135</v>
      </c>
      <c r="D11" s="263">
        <f>SUM(COG!D10,COG!D18,COG!D28,COG!D38,COG!D62)-(COG_PARTIDA_ESPECIFICA!F37+COG_PARTIDA_ESPECIFICA!F47)</f>
        <v>951490490.7249999</v>
      </c>
      <c r="E11" s="187">
        <f>SUM(COG!E10,COG!E18,COG!E28,COG!E38,COG!E62)-(COG_PARTIDA_ESPECIFICA!G37+COG_PARTIDA_ESPECIFICA!G47)</f>
        <v>38956319.229999997</v>
      </c>
      <c r="F11" s="187">
        <f>+D11+E11</f>
        <v>990446809.95499992</v>
      </c>
      <c r="G11" s="187">
        <f>SUM(COG!G10,COG!G18,COG!G28,COG!G38,COG!G62)-(COG_PARTIDA_ESPECIFICA!I37+COG_PARTIDA_ESPECIFICA!I47)</f>
        <v>970497948.48000014</v>
      </c>
      <c r="H11" s="187">
        <f>SUM(COG!H10,COG!H18,COG!H28,COG!H38,COG!H62)-(COG_PARTIDA_ESPECIFICA!J37+COG_PARTIDA_ESPECIFICA!J47)</f>
        <v>940926528.96000004</v>
      </c>
      <c r="I11" s="187">
        <f>+F11-G11</f>
        <v>19948861.474999785</v>
      </c>
    </row>
    <row r="12" spans="2:9" x14ac:dyDescent="0.25">
      <c r="B12" s="19"/>
      <c r="C12" s="59"/>
      <c r="D12" s="187"/>
      <c r="E12" s="187"/>
      <c r="F12" s="187"/>
      <c r="G12" s="187"/>
      <c r="H12" s="187"/>
      <c r="I12" s="187"/>
    </row>
    <row r="13" spans="2:9" x14ac:dyDescent="0.25">
      <c r="B13" s="27"/>
      <c r="C13" s="26" t="s">
        <v>136</v>
      </c>
      <c r="D13" s="187">
        <f>SUM(COG!D48,COG!D58)</f>
        <v>382223.09</v>
      </c>
      <c r="E13" s="187">
        <f>SUM(COG!E48,COG!E58)</f>
        <v>586840</v>
      </c>
      <c r="F13" s="187">
        <f>SUM(COG!F48,COG!F58)</f>
        <v>969063.09</v>
      </c>
      <c r="G13" s="187">
        <f>SUM(COG!G48,COG!G58)</f>
        <v>821834.78</v>
      </c>
      <c r="H13" s="187">
        <f>SUM(COG!H48,COG!H58)</f>
        <v>220080.6</v>
      </c>
      <c r="I13" s="187">
        <f>+F13-G13</f>
        <v>147228.30999999994</v>
      </c>
    </row>
    <row r="14" spans="2:9" x14ac:dyDescent="0.25">
      <c r="B14" s="19"/>
      <c r="C14" s="59"/>
      <c r="D14" s="206"/>
      <c r="E14" s="206"/>
      <c r="F14" s="206"/>
      <c r="G14" s="206"/>
      <c r="H14" s="206"/>
      <c r="I14" s="206"/>
    </row>
    <row r="15" spans="2:9" x14ac:dyDescent="0.25">
      <c r="B15" s="27"/>
      <c r="C15" s="26" t="s">
        <v>137</v>
      </c>
      <c r="D15" s="206"/>
      <c r="E15" s="206"/>
      <c r="F15" s="206">
        <f>+D15+E15</f>
        <v>0</v>
      </c>
      <c r="G15" s="206"/>
      <c r="H15" s="206"/>
      <c r="I15" s="187">
        <f>+F15-G15</f>
        <v>0</v>
      </c>
    </row>
    <row r="16" spans="2:9" x14ac:dyDescent="0.25">
      <c r="B16" s="27"/>
      <c r="C16" s="26"/>
      <c r="D16" s="206"/>
      <c r="E16" s="206"/>
      <c r="F16" s="206"/>
      <c r="G16" s="206"/>
      <c r="H16" s="206"/>
      <c r="I16" s="187"/>
    </row>
    <row r="17" spans="2:9" x14ac:dyDescent="0.25">
      <c r="B17" s="27"/>
      <c r="C17" s="26" t="s">
        <v>84</v>
      </c>
      <c r="D17" s="206">
        <f>SUM(COG_PARTIDA_ESPECIFICA!F37,COG_PARTIDA_ESPECIFICA!F47)</f>
        <v>48127286.18</v>
      </c>
      <c r="E17" s="206">
        <f>SUM(COG_PARTIDA_ESPECIFICA!G37,COG_PARTIDA_ESPECIFICA!G47)</f>
        <v>-39257.119999999995</v>
      </c>
      <c r="F17" s="206">
        <f>+D17+E17</f>
        <v>48088029.060000002</v>
      </c>
      <c r="G17" s="206">
        <f>SUM(COG_PARTIDA_ESPECIFICA!I37,COG_PARTIDA_ESPECIFICA!I47)</f>
        <v>48064260.670000002</v>
      </c>
      <c r="H17" s="206">
        <f>SUM(COG_PARTIDA_ESPECIFICA!J37,COG_PARTIDA_ESPECIFICA!J47)</f>
        <v>48032278.439999998</v>
      </c>
      <c r="I17" s="187">
        <f>+F17-G17</f>
        <v>23768.390000000596</v>
      </c>
    </row>
    <row r="18" spans="2:9" x14ac:dyDescent="0.25">
      <c r="B18" s="27"/>
      <c r="C18" s="26"/>
      <c r="D18" s="206"/>
      <c r="E18" s="206"/>
      <c r="F18" s="206"/>
      <c r="G18" s="206"/>
      <c r="H18" s="206"/>
      <c r="I18" s="187"/>
    </row>
    <row r="19" spans="2:9" x14ac:dyDescent="0.25">
      <c r="B19" s="27"/>
      <c r="C19" s="26" t="s">
        <v>89</v>
      </c>
      <c r="D19" s="206">
        <f>SUM(COG!D70)</f>
        <v>0</v>
      </c>
      <c r="E19" s="206">
        <f>SUM(COG!E70)</f>
        <v>0</v>
      </c>
      <c r="F19" s="206">
        <f>+D19+E19</f>
        <v>0</v>
      </c>
      <c r="G19" s="206">
        <f>SUM(COG!G70)</f>
        <v>0</v>
      </c>
      <c r="H19" s="206">
        <f>SUM(COG!H70)</f>
        <v>0</v>
      </c>
      <c r="I19" s="206">
        <f>SUM(COG!I70)</f>
        <v>0</v>
      </c>
    </row>
    <row r="20" spans="2:9" x14ac:dyDescent="0.25">
      <c r="B20" s="28"/>
      <c r="C20" s="29"/>
      <c r="D20" s="207"/>
      <c r="E20" s="207"/>
      <c r="F20" s="207"/>
      <c r="G20" s="207"/>
      <c r="H20" s="207"/>
      <c r="I20" s="207"/>
    </row>
    <row r="21" spans="2:9" s="151" customFormat="1" x14ac:dyDescent="0.25">
      <c r="B21" s="28"/>
      <c r="C21" s="29" t="s">
        <v>132</v>
      </c>
      <c r="D21" s="208">
        <f>+D11+D13+D15+D17+D19</f>
        <v>999999999.99499989</v>
      </c>
      <c r="E21" s="208">
        <f t="shared" ref="E21:I21" si="0">+E11+E13+E15+E17+E19</f>
        <v>39503902.109999999</v>
      </c>
      <c r="F21" s="208">
        <f t="shared" si="0"/>
        <v>1039503902.105</v>
      </c>
      <c r="G21" s="208">
        <f t="shared" si="0"/>
        <v>1019384043.9300001</v>
      </c>
      <c r="H21" s="208">
        <f t="shared" si="0"/>
        <v>989178888</v>
      </c>
      <c r="I21" s="208">
        <f t="shared" si="0"/>
        <v>20119858.174999785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44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5"/>
      <c r="E25" s="144"/>
    </row>
    <row r="26" spans="2:9" x14ac:dyDescent="0.25">
      <c r="D26" s="185"/>
    </row>
    <row r="27" spans="2:9" x14ac:dyDescent="0.25">
      <c r="D27" s="185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workbookViewId="0">
      <selection activeCell="D21" sqref="D21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330"/>
      <c r="C1" s="330"/>
      <c r="D1" s="330"/>
      <c r="E1" s="330"/>
      <c r="F1" s="330"/>
      <c r="G1" s="330"/>
      <c r="H1" s="330"/>
      <c r="I1" s="330"/>
    </row>
    <row r="2" spans="2:9" ht="15.75" x14ac:dyDescent="0.25">
      <c r="B2" s="331" t="s">
        <v>466</v>
      </c>
      <c r="C2" s="331"/>
      <c r="D2" s="331"/>
      <c r="E2" s="331"/>
      <c r="F2" s="331"/>
      <c r="G2" s="331"/>
      <c r="H2" s="331"/>
      <c r="I2" s="331"/>
    </row>
    <row r="3" spans="2:9" x14ac:dyDescent="0.25">
      <c r="B3" s="332" t="s">
        <v>123</v>
      </c>
      <c r="C3" s="332"/>
      <c r="D3" s="332"/>
      <c r="E3" s="332"/>
      <c r="F3" s="332"/>
      <c r="G3" s="332"/>
      <c r="H3" s="332"/>
      <c r="I3" s="332"/>
    </row>
    <row r="4" spans="2:9" x14ac:dyDescent="0.25">
      <c r="B4" s="332" t="s">
        <v>508</v>
      </c>
      <c r="C4" s="332"/>
      <c r="D4" s="332"/>
      <c r="E4" s="332"/>
      <c r="F4" s="332"/>
      <c r="G4" s="332"/>
      <c r="H4" s="332"/>
      <c r="I4" s="332"/>
    </row>
    <row r="5" spans="2:9" x14ac:dyDescent="0.25">
      <c r="B5" s="332" t="str">
        <f>+CAdmon!$A$6</f>
        <v>Del 1 de enero al 31 de diciembre de 2019</v>
      </c>
      <c r="C5" s="332"/>
      <c r="D5" s="332"/>
      <c r="E5" s="332"/>
      <c r="F5" s="332"/>
      <c r="G5" s="332"/>
      <c r="H5" s="332"/>
      <c r="I5" s="33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328" t="s">
        <v>73</v>
      </c>
      <c r="C7" s="328"/>
      <c r="D7" s="329" t="s">
        <v>125</v>
      </c>
      <c r="E7" s="329"/>
      <c r="F7" s="329"/>
      <c r="G7" s="329"/>
      <c r="H7" s="329"/>
      <c r="I7" s="329" t="s">
        <v>126</v>
      </c>
    </row>
    <row r="8" spans="2:9" ht="22.5" x14ac:dyDescent="0.25">
      <c r="B8" s="328"/>
      <c r="C8" s="328"/>
      <c r="D8" s="152" t="s">
        <v>127</v>
      </c>
      <c r="E8" s="152" t="s">
        <v>128</v>
      </c>
      <c r="F8" s="152" t="s">
        <v>107</v>
      </c>
      <c r="G8" s="152" t="s">
        <v>108</v>
      </c>
      <c r="H8" s="152" t="s">
        <v>129</v>
      </c>
      <c r="I8" s="329"/>
    </row>
    <row r="9" spans="2:9" ht="11.25" customHeight="1" x14ac:dyDescent="0.25">
      <c r="B9" s="328"/>
      <c r="C9" s="328"/>
      <c r="D9" s="152">
        <v>1</v>
      </c>
      <c r="E9" s="152">
        <v>2</v>
      </c>
      <c r="F9" s="152" t="s">
        <v>130</v>
      </c>
      <c r="G9" s="152">
        <v>4</v>
      </c>
      <c r="H9" s="152">
        <v>5</v>
      </c>
      <c r="I9" s="152" t="s">
        <v>131</v>
      </c>
    </row>
    <row r="10" spans="2:9" x14ac:dyDescent="0.25">
      <c r="B10" s="358" t="s">
        <v>98</v>
      </c>
      <c r="C10" s="359"/>
      <c r="D10" s="209">
        <f>SUM(D11:D17)</f>
        <v>951163073.14999986</v>
      </c>
      <c r="E10" s="209">
        <f>SUM(E11:E17)</f>
        <v>17477690.119999997</v>
      </c>
      <c r="F10" s="209">
        <f>+D10+E10</f>
        <v>968640763.26999986</v>
      </c>
      <c r="G10" s="209">
        <f>SUM(G11:G17)</f>
        <v>958858386.08000004</v>
      </c>
      <c r="H10" s="209">
        <f>SUM(H11:H17)</f>
        <v>945288561.75</v>
      </c>
      <c r="I10" s="209">
        <f>+F10-G10</f>
        <v>9782377.1899998188</v>
      </c>
    </row>
    <row r="11" spans="2:9" x14ac:dyDescent="0.25">
      <c r="B11" s="32"/>
      <c r="C11" s="33" t="s">
        <v>138</v>
      </c>
      <c r="D11" s="210">
        <f>SUM(COG_PARTIDA_ESPECIFICA!F13)</f>
        <v>383000620.53999996</v>
      </c>
      <c r="E11" s="210">
        <f>SUM(COG_PARTIDA_ESPECIFICA!G13)</f>
        <v>10212411.67</v>
      </c>
      <c r="F11" s="210">
        <f t="shared" ref="F11:F75" si="0">+D11+E11</f>
        <v>393213032.20999998</v>
      </c>
      <c r="G11" s="210">
        <f>SUM(COG_PARTIDA_ESPECIFICA!I13)</f>
        <v>392261689.31</v>
      </c>
      <c r="H11" s="210">
        <f>SUM(COG_PARTIDA_ESPECIFICA!J13)</f>
        <v>381320238.54999995</v>
      </c>
      <c r="I11" s="210">
        <f t="shared" ref="I11:I74" si="1">+F11-G11</f>
        <v>951342.89999997616</v>
      </c>
    </row>
    <row r="12" spans="2:9" x14ac:dyDescent="0.25">
      <c r="B12" s="32"/>
      <c r="C12" s="33" t="s">
        <v>139</v>
      </c>
      <c r="D12" s="210">
        <f>SUM(COG_PARTIDA_ESPECIFICA!F18)</f>
        <v>3413057.21</v>
      </c>
      <c r="E12" s="210">
        <f>SUM(COG_PARTIDA_ESPECIFICA!G18)</f>
        <v>430557.96</v>
      </c>
      <c r="F12" s="210">
        <f t="shared" si="0"/>
        <v>3843615.17</v>
      </c>
      <c r="G12" s="210">
        <f>SUM(COG_PARTIDA_ESPECIFICA!I18)</f>
        <v>3232528.36</v>
      </c>
      <c r="H12" s="210">
        <f>SUM(COG_PARTIDA_ESPECIFICA!J18)</f>
        <v>3159298.29</v>
      </c>
      <c r="I12" s="210">
        <f t="shared" si="1"/>
        <v>611086.81000000006</v>
      </c>
    </row>
    <row r="13" spans="2:9" x14ac:dyDescent="0.25">
      <c r="B13" s="32"/>
      <c r="C13" s="33" t="s">
        <v>140</v>
      </c>
      <c r="D13" s="210">
        <f>SUM(COG_PARTIDA_ESPECIFICA!F23)</f>
        <v>297413690.37</v>
      </c>
      <c r="E13" s="210">
        <f>SUM(COG_PARTIDA_ESPECIFICA!G23)</f>
        <v>-4661393.9600000009</v>
      </c>
      <c r="F13" s="210">
        <f t="shared" si="0"/>
        <v>292752296.41000003</v>
      </c>
      <c r="G13" s="210">
        <f>SUM(COG_PARTIDA_ESPECIFICA!I23)</f>
        <v>291863429.69</v>
      </c>
      <c r="H13" s="210">
        <f>SUM(COG_PARTIDA_ESPECIFICA!J23)</f>
        <v>289474832.72000003</v>
      </c>
      <c r="I13" s="210">
        <f t="shared" si="1"/>
        <v>888866.72000002861</v>
      </c>
    </row>
    <row r="14" spans="2:9" x14ac:dyDescent="0.25">
      <c r="B14" s="32"/>
      <c r="C14" s="33" t="s">
        <v>141</v>
      </c>
      <c r="D14" s="210">
        <f>SUM(COG_PARTIDA_ESPECIFICA!F34)</f>
        <v>105819264.71000001</v>
      </c>
      <c r="E14" s="210">
        <f>SUM(COG_PARTIDA_ESPECIFICA!G34)</f>
        <v>2973172.5</v>
      </c>
      <c r="F14" s="210">
        <f t="shared" si="0"/>
        <v>108792437.21000001</v>
      </c>
      <c r="G14" s="210">
        <f>SUM(COG_PARTIDA_ESPECIFICA!I34)</f>
        <v>105460268.96000001</v>
      </c>
      <c r="H14" s="210">
        <f>SUM(COG_PARTIDA_ESPECIFICA!J34)</f>
        <v>105436323.93000001</v>
      </c>
      <c r="I14" s="210">
        <f t="shared" si="1"/>
        <v>3332168.25</v>
      </c>
    </row>
    <row r="15" spans="2:9" x14ac:dyDescent="0.25">
      <c r="B15" s="32"/>
      <c r="C15" s="33" t="s">
        <v>142</v>
      </c>
      <c r="D15" s="210">
        <f>SUM(COG_PARTIDA_ESPECIFICA!F43)</f>
        <v>149916175.56</v>
      </c>
      <c r="E15" s="210">
        <f>SUM(COG_PARTIDA_ESPECIFICA!G43)</f>
        <v>9620806.9499999993</v>
      </c>
      <c r="F15" s="210">
        <f t="shared" si="0"/>
        <v>159536982.50999999</v>
      </c>
      <c r="G15" s="210">
        <f>SUM(COG_PARTIDA_ESPECIFICA!I43)</f>
        <v>155714169.76000002</v>
      </c>
      <c r="H15" s="210">
        <f>SUM(COG_PARTIDA_ESPECIFICA!J43)</f>
        <v>155571568.26000002</v>
      </c>
      <c r="I15" s="210">
        <f t="shared" si="1"/>
        <v>3822812.7499999702</v>
      </c>
    </row>
    <row r="16" spans="2:9" x14ac:dyDescent="0.25">
      <c r="B16" s="32"/>
      <c r="C16" s="33" t="s">
        <v>143</v>
      </c>
      <c r="D16" s="211"/>
      <c r="E16" s="211"/>
      <c r="F16" s="210">
        <f t="shared" si="0"/>
        <v>0</v>
      </c>
      <c r="G16" s="211"/>
      <c r="H16" s="211"/>
      <c r="I16" s="211">
        <f t="shared" si="1"/>
        <v>0</v>
      </c>
    </row>
    <row r="17" spans="2:9" x14ac:dyDescent="0.25">
      <c r="B17" s="32"/>
      <c r="C17" s="33" t="s">
        <v>144</v>
      </c>
      <c r="D17" s="210">
        <f>SUM(COG_PARTIDA_ESPECIFICA!F62)</f>
        <v>11600264.76</v>
      </c>
      <c r="E17" s="210">
        <f>SUM(COG_PARTIDA_ESPECIFICA!G62)</f>
        <v>-1097865</v>
      </c>
      <c r="F17" s="210">
        <f t="shared" si="0"/>
        <v>10502399.76</v>
      </c>
      <c r="G17" s="210">
        <f>SUM(COG_PARTIDA_ESPECIFICA!I62)</f>
        <v>10326300</v>
      </c>
      <c r="H17" s="210">
        <f>SUM(COG_PARTIDA_ESPECIFICA!J62)</f>
        <v>10326300</v>
      </c>
      <c r="I17" s="210">
        <f t="shared" si="1"/>
        <v>176099.75999999978</v>
      </c>
    </row>
    <row r="18" spans="2:9" x14ac:dyDescent="0.25">
      <c r="B18" s="358" t="s">
        <v>76</v>
      </c>
      <c r="C18" s="359"/>
      <c r="D18" s="209">
        <f>SUM(D19:D27)</f>
        <v>15158792.625</v>
      </c>
      <c r="E18" s="209">
        <f>SUM(E19:E27)</f>
        <v>2432983</v>
      </c>
      <c r="F18" s="209">
        <f t="shared" si="0"/>
        <v>17591775.625</v>
      </c>
      <c r="G18" s="209">
        <f>SUM(G19:G27)</f>
        <v>16151402.84</v>
      </c>
      <c r="H18" s="209">
        <f>SUM(H19:H27)</f>
        <v>13875925.380000001</v>
      </c>
      <c r="I18" s="209">
        <f t="shared" si="1"/>
        <v>1440372.7850000001</v>
      </c>
    </row>
    <row r="19" spans="2:9" x14ac:dyDescent="0.25">
      <c r="B19" s="32"/>
      <c r="C19" s="33" t="s">
        <v>145</v>
      </c>
      <c r="D19" s="210">
        <f>SUM(COG_PARTIDA_ESPECIFICA!F67)</f>
        <v>7621299.4299999997</v>
      </c>
      <c r="E19" s="210">
        <f>SUM(COG_PARTIDA_ESPECIFICA!G67)</f>
        <v>98265</v>
      </c>
      <c r="F19" s="210">
        <f t="shared" si="0"/>
        <v>7719564.4299999997</v>
      </c>
      <c r="G19" s="210">
        <f>SUM(COG_PARTIDA_ESPECIFICA!I67)</f>
        <v>6934849.669999999</v>
      </c>
      <c r="H19" s="210">
        <f>SUM(COG_PARTIDA_ESPECIFICA!J67)</f>
        <v>5262172.1900000004</v>
      </c>
      <c r="I19" s="210">
        <f t="shared" si="1"/>
        <v>784714.76000000071</v>
      </c>
    </row>
    <row r="20" spans="2:9" x14ac:dyDescent="0.25">
      <c r="B20" s="32"/>
      <c r="C20" s="33" t="s">
        <v>146</v>
      </c>
      <c r="D20" s="210">
        <f>SUM(COG_PARTIDA_ESPECIFICA!F81)</f>
        <v>346426.62</v>
      </c>
      <c r="E20" s="210">
        <f>SUM(COG_PARTIDA_ESPECIFICA!G81)</f>
        <v>-3482</v>
      </c>
      <c r="F20" s="210">
        <f t="shared" si="0"/>
        <v>342944.62</v>
      </c>
      <c r="G20" s="210">
        <f>SUM(COG_PARTIDA_ESPECIFICA!I81)</f>
        <v>334784.97000000003</v>
      </c>
      <c r="H20" s="210">
        <f>SUM(COG_PARTIDA_ESPECIFICA!J81)</f>
        <v>287831.05</v>
      </c>
      <c r="I20" s="210">
        <f t="shared" si="1"/>
        <v>8159.6499999999651</v>
      </c>
    </row>
    <row r="21" spans="2:9" x14ac:dyDescent="0.25">
      <c r="B21" s="32"/>
      <c r="C21" s="33" t="s">
        <v>147</v>
      </c>
      <c r="D21" s="211">
        <v>0</v>
      </c>
      <c r="E21" s="211">
        <v>0</v>
      </c>
      <c r="F21" s="210">
        <f t="shared" si="0"/>
        <v>0</v>
      </c>
      <c r="G21" s="211">
        <v>0</v>
      </c>
      <c r="H21" s="211">
        <v>0</v>
      </c>
      <c r="I21" s="211">
        <f t="shared" si="1"/>
        <v>0</v>
      </c>
    </row>
    <row r="22" spans="2:9" x14ac:dyDescent="0.25">
      <c r="B22" s="32"/>
      <c r="C22" s="33" t="s">
        <v>148</v>
      </c>
      <c r="D22" s="210">
        <f>SUM(COG_PARTIDA_ESPECIFICA!F88)</f>
        <v>862682.84000000008</v>
      </c>
      <c r="E22" s="210">
        <f>SUM(COG_PARTIDA_ESPECIFICA!G88)</f>
        <v>-41500</v>
      </c>
      <c r="F22" s="210">
        <f t="shared" si="0"/>
        <v>821182.84000000008</v>
      </c>
      <c r="G22" s="210">
        <f>SUM(COG_PARTIDA_ESPECIFICA!I88)</f>
        <v>673726.11</v>
      </c>
      <c r="H22" s="210">
        <f>SUM(COG_PARTIDA_ESPECIFICA!J88)</f>
        <v>497597.03</v>
      </c>
      <c r="I22" s="210">
        <f t="shared" si="1"/>
        <v>147456.7300000001</v>
      </c>
    </row>
    <row r="23" spans="2:9" x14ac:dyDescent="0.25">
      <c r="B23" s="32"/>
      <c r="C23" s="33" t="s">
        <v>149</v>
      </c>
      <c r="D23" s="210">
        <f>SUM(COG_PARTIDA_ESPECIFICA!F105)</f>
        <v>235277.77000000002</v>
      </c>
      <c r="E23" s="210">
        <f>SUM(COG_PARTIDA_ESPECIFICA!G105)</f>
        <v>45000</v>
      </c>
      <c r="F23" s="210">
        <f t="shared" si="0"/>
        <v>280277.77</v>
      </c>
      <c r="G23" s="210">
        <f>SUM(COG_PARTIDA_ESPECIFICA!I105)</f>
        <v>169960.78000000003</v>
      </c>
      <c r="H23" s="210">
        <f>SUM(COG_PARTIDA_ESPECIFICA!J105)</f>
        <v>169960.78000000003</v>
      </c>
      <c r="I23" s="210">
        <f t="shared" si="1"/>
        <v>110316.98999999999</v>
      </c>
    </row>
    <row r="24" spans="2:9" x14ac:dyDescent="0.25">
      <c r="B24" s="32"/>
      <c r="C24" s="33" t="s">
        <v>150</v>
      </c>
      <c r="D24" s="210">
        <f>SUM(COG_PARTIDA_ESPECIFICA!F112)</f>
        <v>4624791.2750000004</v>
      </c>
      <c r="E24" s="210">
        <f>SUM(COG_PARTIDA_ESPECIFICA!G112)</f>
        <v>2360000</v>
      </c>
      <c r="F24" s="210">
        <f t="shared" si="0"/>
        <v>6984791.2750000004</v>
      </c>
      <c r="G24" s="210">
        <f>SUM(COG_PARTIDA_ESPECIFICA!I112)</f>
        <v>6869913.8300000001</v>
      </c>
      <c r="H24" s="210">
        <f>SUM(COG_PARTIDA_ESPECIFICA!J112)</f>
        <v>6611260.9500000002</v>
      </c>
      <c r="I24" s="210">
        <f t="shared" si="1"/>
        <v>114877.4450000003</v>
      </c>
    </row>
    <row r="25" spans="2:9" x14ac:dyDescent="0.25">
      <c r="B25" s="32"/>
      <c r="C25" s="33" t="s">
        <v>151</v>
      </c>
      <c r="D25" s="210">
        <f>SUM(COG_PARTIDA_ESPECIFICA!F116)</f>
        <v>264748.34999999998</v>
      </c>
      <c r="E25" s="210">
        <f>SUM(COG_PARTIDA_ESPECIFICA!G116)</f>
        <v>-12000</v>
      </c>
      <c r="F25" s="210">
        <f t="shared" si="0"/>
        <v>252748.34999999998</v>
      </c>
      <c r="G25" s="210">
        <f>SUM(COG_PARTIDA_ESPECIFICA!I116)</f>
        <v>240069.96000000002</v>
      </c>
      <c r="H25" s="210">
        <f>SUM(COG_PARTIDA_ESPECIFICA!J116)</f>
        <v>240069.96000000002</v>
      </c>
      <c r="I25" s="210">
        <f t="shared" si="1"/>
        <v>12678.389999999956</v>
      </c>
    </row>
    <row r="26" spans="2:9" x14ac:dyDescent="0.25">
      <c r="B26" s="32"/>
      <c r="C26" s="33" t="s">
        <v>152</v>
      </c>
      <c r="D26" s="211">
        <v>0</v>
      </c>
      <c r="E26" s="211">
        <v>0</v>
      </c>
      <c r="F26" s="210">
        <f t="shared" si="0"/>
        <v>0</v>
      </c>
      <c r="G26" s="211">
        <v>0</v>
      </c>
      <c r="H26" s="211">
        <v>0</v>
      </c>
      <c r="I26" s="211">
        <f t="shared" si="1"/>
        <v>0</v>
      </c>
    </row>
    <row r="27" spans="2:9" x14ac:dyDescent="0.25">
      <c r="B27" s="32"/>
      <c r="C27" s="33" t="s">
        <v>153</v>
      </c>
      <c r="D27" s="210">
        <f>SUM(COG_PARTIDA_ESPECIFICA!F122)</f>
        <v>1203566.3399999999</v>
      </c>
      <c r="E27" s="210">
        <f>SUM(COG_PARTIDA_ESPECIFICA!G122)</f>
        <v>-13300</v>
      </c>
      <c r="F27" s="210">
        <f t="shared" si="0"/>
        <v>1190266.3399999999</v>
      </c>
      <c r="G27" s="210">
        <f>SUM(COG_PARTIDA_ESPECIFICA!I122)</f>
        <v>928097.52</v>
      </c>
      <c r="H27" s="210">
        <f>SUM(COG_PARTIDA_ESPECIFICA!J122)</f>
        <v>807033.41999999993</v>
      </c>
      <c r="I27" s="210">
        <f t="shared" si="1"/>
        <v>262168.81999999983</v>
      </c>
    </row>
    <row r="28" spans="2:9" x14ac:dyDescent="0.25">
      <c r="B28" s="358" t="s">
        <v>78</v>
      </c>
      <c r="C28" s="359"/>
      <c r="D28" s="209">
        <f>SUM(D29:D37)</f>
        <v>28249911.129999999</v>
      </c>
      <c r="E28" s="209">
        <f>SUM(E29:E37)</f>
        <v>19002388.990000002</v>
      </c>
      <c r="F28" s="209">
        <f t="shared" si="0"/>
        <v>47252300.120000005</v>
      </c>
      <c r="G28" s="209">
        <f>SUM(G29:G37)</f>
        <v>38502420.229999997</v>
      </c>
      <c r="H28" s="209">
        <f>SUM(H29:H37)</f>
        <v>29744320.270000003</v>
      </c>
      <c r="I28" s="209">
        <f t="shared" si="1"/>
        <v>8749879.890000008</v>
      </c>
    </row>
    <row r="29" spans="2:9" x14ac:dyDescent="0.25">
      <c r="B29" s="32"/>
      <c r="C29" s="33" t="s">
        <v>154</v>
      </c>
      <c r="D29" s="210">
        <f>SUM(COG_PARTIDA_ESPECIFICA!F139)</f>
        <v>11097656.41</v>
      </c>
      <c r="E29" s="210">
        <f>SUM(COG_PARTIDA_ESPECIFICA!G139)</f>
        <v>9567500</v>
      </c>
      <c r="F29" s="210">
        <f t="shared" si="0"/>
        <v>20665156.41</v>
      </c>
      <c r="G29" s="210">
        <f>SUM(COG_PARTIDA_ESPECIFICA!I139)</f>
        <v>17206927.469999999</v>
      </c>
      <c r="H29" s="210">
        <f>SUM(COG_PARTIDA_ESPECIFICA!J139)</f>
        <v>14463944.57</v>
      </c>
      <c r="I29" s="210">
        <f t="shared" si="1"/>
        <v>3458228.9400000013</v>
      </c>
    </row>
    <row r="30" spans="2:9" x14ac:dyDescent="0.25">
      <c r="B30" s="32"/>
      <c r="C30" s="33" t="s">
        <v>155</v>
      </c>
      <c r="D30" s="210">
        <f>SUM(COG_PARTIDA_ESPECIFICA!F154)</f>
        <v>4834577.04</v>
      </c>
      <c r="E30" s="210">
        <f>SUM(COG_PARTIDA_ESPECIFICA!G154)</f>
        <v>5225764.99</v>
      </c>
      <c r="F30" s="210">
        <f t="shared" si="0"/>
        <v>10060342.030000001</v>
      </c>
      <c r="G30" s="210">
        <f>SUM(COG_PARTIDA_ESPECIFICA!I154)</f>
        <v>7588526.9900000002</v>
      </c>
      <c r="H30" s="210">
        <f>SUM(COG_PARTIDA_ESPECIFICA!J154)</f>
        <v>5737055.6300000008</v>
      </c>
      <c r="I30" s="210">
        <f t="shared" si="1"/>
        <v>2471815.040000001</v>
      </c>
    </row>
    <row r="31" spans="2:9" x14ac:dyDescent="0.25">
      <c r="B31" s="32"/>
      <c r="C31" s="33" t="s">
        <v>156</v>
      </c>
      <c r="D31" s="210">
        <f>SUM(COG_PARTIDA_ESPECIFICA!F163)</f>
        <v>2829768.4299999997</v>
      </c>
      <c r="E31" s="210">
        <f>SUM(COG_PARTIDA_ESPECIFICA!G163)</f>
        <v>3599384</v>
      </c>
      <c r="F31" s="210">
        <f t="shared" si="0"/>
        <v>6429152.4299999997</v>
      </c>
      <c r="G31" s="210">
        <f>SUM(COG_PARTIDA_ESPECIFICA!I163)</f>
        <v>4222428.97</v>
      </c>
      <c r="H31" s="210">
        <f>SUM(COG_PARTIDA_ESPECIFICA!J163)</f>
        <v>2686485.9099999997</v>
      </c>
      <c r="I31" s="210">
        <f t="shared" si="1"/>
        <v>2206723.46</v>
      </c>
    </row>
    <row r="32" spans="2:9" x14ac:dyDescent="0.25">
      <c r="B32" s="32"/>
      <c r="C32" s="33" t="s">
        <v>157</v>
      </c>
      <c r="D32" s="210">
        <f>SUM(COG_PARTIDA_ESPECIFICA!F176)</f>
        <v>713633</v>
      </c>
      <c r="E32" s="210">
        <f>SUM(COG_PARTIDA_ESPECIFICA!G176)</f>
        <v>25953</v>
      </c>
      <c r="F32" s="210">
        <f t="shared" si="0"/>
        <v>739586</v>
      </c>
      <c r="G32" s="210">
        <f>SUM(COG_PARTIDA_ESPECIFICA!I176)</f>
        <v>697533.14999999991</v>
      </c>
      <c r="H32" s="210">
        <f>SUM(COG_PARTIDA_ESPECIFICA!J176)</f>
        <v>697533.14999999991</v>
      </c>
      <c r="I32" s="210">
        <f t="shared" si="1"/>
        <v>42052.850000000093</v>
      </c>
    </row>
    <row r="33" spans="2:9" x14ac:dyDescent="0.25">
      <c r="B33" s="32"/>
      <c r="C33" s="33" t="s">
        <v>158</v>
      </c>
      <c r="D33" s="210">
        <f>SUM(COG_PARTIDA_ESPECIFICA!F186)</f>
        <v>7320641.2300000004</v>
      </c>
      <c r="E33" s="210">
        <f>SUM(COG_PARTIDA_ESPECIFICA!G186)</f>
        <v>618786.99999999988</v>
      </c>
      <c r="F33" s="210">
        <f t="shared" si="0"/>
        <v>7939428.2300000004</v>
      </c>
      <c r="G33" s="210">
        <f>SUM(COG_PARTIDA_ESPECIFICA!I186)</f>
        <v>7584048.9000000004</v>
      </c>
      <c r="H33" s="210">
        <f>SUM(COG_PARTIDA_ESPECIFICA!J186)</f>
        <v>4970514.26</v>
      </c>
      <c r="I33" s="210">
        <f t="shared" si="1"/>
        <v>355379.33000000007</v>
      </c>
    </row>
    <row r="34" spans="2:9" x14ac:dyDescent="0.25">
      <c r="B34" s="32"/>
      <c r="C34" s="33" t="s">
        <v>159</v>
      </c>
      <c r="D34" s="210">
        <f>SUM(COG_PARTIDA_ESPECIFICA!F209)</f>
        <v>112768.52</v>
      </c>
      <c r="E34" s="210">
        <f>SUM(COG_PARTIDA_ESPECIFICA!G209)</f>
        <v>0</v>
      </c>
      <c r="F34" s="210">
        <f t="shared" si="0"/>
        <v>112768.52</v>
      </c>
      <c r="G34" s="210">
        <f>SUM(COG_PARTIDA_ESPECIFICA!I209)</f>
        <v>0</v>
      </c>
      <c r="H34" s="210">
        <f>SUM(COG_PARTIDA_ESPECIFICA!J209)</f>
        <v>0</v>
      </c>
      <c r="I34" s="210">
        <f t="shared" si="1"/>
        <v>112768.52</v>
      </c>
    </row>
    <row r="35" spans="2:9" x14ac:dyDescent="0.25">
      <c r="B35" s="32"/>
      <c r="C35" s="33" t="s">
        <v>160</v>
      </c>
      <c r="D35" s="210">
        <f>SUM(COG_PARTIDA_ESPECIFICA!F212)</f>
        <v>861288.2</v>
      </c>
      <c r="E35" s="210">
        <f>SUM(COG_PARTIDA_ESPECIFICA!G212)</f>
        <v>-35000</v>
      </c>
      <c r="F35" s="210">
        <f t="shared" si="0"/>
        <v>826288.2</v>
      </c>
      <c r="G35" s="210">
        <f>SUM(COG_PARTIDA_ESPECIFICA!I212)</f>
        <v>727948.77</v>
      </c>
      <c r="H35" s="210">
        <f>SUM(COG_PARTIDA_ESPECIFICA!J212)</f>
        <v>726348.77</v>
      </c>
      <c r="I35" s="210">
        <f t="shared" si="1"/>
        <v>98339.429999999935</v>
      </c>
    </row>
    <row r="36" spans="2:9" x14ac:dyDescent="0.25">
      <c r="B36" s="32"/>
      <c r="C36" s="33" t="s">
        <v>161</v>
      </c>
      <c r="D36" s="210">
        <f>SUM(COG_PARTIDA_ESPECIFICA!F227)</f>
        <v>479578.3</v>
      </c>
      <c r="E36" s="210">
        <f>SUM(COG_PARTIDA_ESPECIFICA!G227)</f>
        <v>0</v>
      </c>
      <c r="F36" s="210">
        <f t="shared" si="0"/>
        <v>479578.3</v>
      </c>
      <c r="G36" s="210">
        <f>SUM(COG_PARTIDA_ESPECIFICA!I227)</f>
        <v>475005.98</v>
      </c>
      <c r="H36" s="210">
        <f>SUM(COG_PARTIDA_ESPECIFICA!J227)</f>
        <v>462437.98</v>
      </c>
      <c r="I36" s="210">
        <f t="shared" si="1"/>
        <v>4572.320000000007</v>
      </c>
    </row>
    <row r="37" spans="2:9" x14ac:dyDescent="0.25">
      <c r="B37" s="32"/>
      <c r="C37" s="33" t="s">
        <v>162</v>
      </c>
      <c r="D37" s="210">
        <f>SUM(COG_PARTIDA_ESPECIFICA!F231)</f>
        <v>0</v>
      </c>
      <c r="E37" s="210">
        <f>SUM(COG_PARTIDA_ESPECIFICA!G231)</f>
        <v>0</v>
      </c>
      <c r="F37" s="210">
        <f t="shared" si="0"/>
        <v>0</v>
      </c>
      <c r="G37" s="210">
        <f>SUM(COG_PARTIDA_ESPECIFICA!I231)</f>
        <v>0</v>
      </c>
      <c r="H37" s="210">
        <f>SUM(COG_PARTIDA_ESPECIFICA!J231)</f>
        <v>0</v>
      </c>
      <c r="I37" s="210">
        <f t="shared" si="1"/>
        <v>0</v>
      </c>
    </row>
    <row r="38" spans="2:9" x14ac:dyDescent="0.25">
      <c r="B38" s="358" t="s">
        <v>117</v>
      </c>
      <c r="C38" s="359"/>
      <c r="D38" s="209">
        <f>SUM(D39:D47)</f>
        <v>46000</v>
      </c>
      <c r="E38" s="212">
        <f>SUM(E39:E47)</f>
        <v>4000</v>
      </c>
      <c r="F38" s="209">
        <f t="shared" si="0"/>
        <v>50000</v>
      </c>
      <c r="G38" s="209">
        <f>SUM(G39:G47)</f>
        <v>50000</v>
      </c>
      <c r="H38" s="209">
        <f>SUM(H39:H47)</f>
        <v>50000</v>
      </c>
      <c r="I38" s="209">
        <f t="shared" si="1"/>
        <v>0</v>
      </c>
    </row>
    <row r="39" spans="2:9" x14ac:dyDescent="0.25">
      <c r="B39" s="32"/>
      <c r="C39" s="33" t="s">
        <v>80</v>
      </c>
      <c r="D39" s="211"/>
      <c r="E39" s="211"/>
      <c r="F39" s="210">
        <f t="shared" si="0"/>
        <v>0</v>
      </c>
      <c r="G39" s="211"/>
      <c r="H39" s="211"/>
      <c r="I39" s="211">
        <f t="shared" si="1"/>
        <v>0</v>
      </c>
    </row>
    <row r="40" spans="2:9" x14ac:dyDescent="0.25">
      <c r="B40" s="32"/>
      <c r="C40" s="33" t="s">
        <v>81</v>
      </c>
      <c r="D40" s="211"/>
      <c r="E40" s="211"/>
      <c r="F40" s="210">
        <f t="shared" si="0"/>
        <v>0</v>
      </c>
      <c r="G40" s="211"/>
      <c r="H40" s="211"/>
      <c r="I40" s="211">
        <f t="shared" si="1"/>
        <v>0</v>
      </c>
    </row>
    <row r="41" spans="2:9" x14ac:dyDescent="0.25">
      <c r="B41" s="32"/>
      <c r="C41" s="33" t="s">
        <v>82</v>
      </c>
      <c r="D41" s="211"/>
      <c r="E41" s="211"/>
      <c r="F41" s="210">
        <f t="shared" si="0"/>
        <v>0</v>
      </c>
      <c r="G41" s="211"/>
      <c r="H41" s="211"/>
      <c r="I41" s="211">
        <f t="shared" si="1"/>
        <v>0</v>
      </c>
    </row>
    <row r="42" spans="2:9" x14ac:dyDescent="0.25">
      <c r="B42" s="32"/>
      <c r="C42" s="33" t="s">
        <v>83</v>
      </c>
      <c r="D42" s="210">
        <f>SUM(COG_PARTIDA_ESPECIFICA!F238)</f>
        <v>46000</v>
      </c>
      <c r="E42" s="210">
        <f>SUM(COG_PARTIDA_ESPECIFICA!G238)</f>
        <v>4000</v>
      </c>
      <c r="F42" s="210">
        <f t="shared" si="0"/>
        <v>50000</v>
      </c>
      <c r="G42" s="210">
        <f>SUM(COG_PARTIDA_ESPECIFICA!I238)</f>
        <v>50000</v>
      </c>
      <c r="H42" s="210">
        <f>SUM(COG_PARTIDA_ESPECIFICA!J238)</f>
        <v>50000</v>
      </c>
      <c r="I42" s="211">
        <f t="shared" si="1"/>
        <v>0</v>
      </c>
    </row>
    <row r="43" spans="2:9" x14ac:dyDescent="0.25">
      <c r="B43" s="32"/>
      <c r="C43" s="33" t="s">
        <v>84</v>
      </c>
      <c r="D43" s="211"/>
      <c r="E43" s="211"/>
      <c r="F43" s="210">
        <f t="shared" si="0"/>
        <v>0</v>
      </c>
      <c r="G43" s="211"/>
      <c r="H43" s="211"/>
      <c r="I43" s="211">
        <f t="shared" si="1"/>
        <v>0</v>
      </c>
    </row>
    <row r="44" spans="2:9" x14ac:dyDescent="0.25">
      <c r="B44" s="32"/>
      <c r="C44" s="33" t="s">
        <v>163</v>
      </c>
      <c r="D44" s="211">
        <f>SUM(COG_PARTIDA_ESPECIFICA!F241)</f>
        <v>0</v>
      </c>
      <c r="E44" s="211">
        <f>SUM(COG_PARTIDA_ESPECIFICA!G241)</f>
        <v>0</v>
      </c>
      <c r="F44" s="210">
        <f t="shared" si="0"/>
        <v>0</v>
      </c>
      <c r="G44" s="211">
        <f>SUM(COG_PARTIDA_ESPECIFICA!I241)</f>
        <v>0</v>
      </c>
      <c r="H44" s="211">
        <f>SUM(COG_PARTIDA_ESPECIFICA!J241)</f>
        <v>0</v>
      </c>
      <c r="I44" s="211">
        <f t="shared" si="1"/>
        <v>0</v>
      </c>
    </row>
    <row r="45" spans="2:9" x14ac:dyDescent="0.25">
      <c r="B45" s="32"/>
      <c r="C45" s="33" t="s">
        <v>86</v>
      </c>
      <c r="D45" s="211">
        <v>0</v>
      </c>
      <c r="E45" s="211">
        <v>0</v>
      </c>
      <c r="F45" s="210">
        <f t="shared" si="0"/>
        <v>0</v>
      </c>
      <c r="G45" s="211">
        <v>0</v>
      </c>
      <c r="H45" s="211">
        <v>0</v>
      </c>
      <c r="I45" s="211">
        <f t="shared" si="1"/>
        <v>0</v>
      </c>
    </row>
    <row r="46" spans="2:9" x14ac:dyDescent="0.25">
      <c r="B46" s="32"/>
      <c r="C46" s="33" t="s">
        <v>87</v>
      </c>
      <c r="D46" s="211">
        <v>0</v>
      </c>
      <c r="E46" s="211">
        <v>0</v>
      </c>
      <c r="F46" s="210">
        <f t="shared" si="0"/>
        <v>0</v>
      </c>
      <c r="G46" s="211">
        <v>0</v>
      </c>
      <c r="H46" s="211">
        <v>0</v>
      </c>
      <c r="I46" s="211">
        <f t="shared" si="1"/>
        <v>0</v>
      </c>
    </row>
    <row r="47" spans="2:9" x14ac:dyDescent="0.25">
      <c r="B47" s="32"/>
      <c r="C47" s="33" t="s">
        <v>88</v>
      </c>
      <c r="D47" s="211">
        <v>0</v>
      </c>
      <c r="E47" s="211">
        <v>0</v>
      </c>
      <c r="F47" s="210">
        <f t="shared" si="0"/>
        <v>0</v>
      </c>
      <c r="G47" s="211">
        <v>0</v>
      </c>
      <c r="H47" s="211">
        <v>0</v>
      </c>
      <c r="I47" s="211">
        <f t="shared" si="1"/>
        <v>0</v>
      </c>
    </row>
    <row r="48" spans="2:9" x14ac:dyDescent="0.25">
      <c r="B48" s="358" t="s">
        <v>164</v>
      </c>
      <c r="C48" s="359"/>
      <c r="D48" s="209">
        <f>SUM(D49:D57)</f>
        <v>343630.39</v>
      </c>
      <c r="E48" s="209">
        <f>SUM(E49:E57)</f>
        <v>586840</v>
      </c>
      <c r="F48" s="209">
        <f t="shared" si="0"/>
        <v>930470.39</v>
      </c>
      <c r="G48" s="209">
        <f>SUM(G49:G57)</f>
        <v>821834.78</v>
      </c>
      <c r="H48" s="209">
        <f>SUM(H49:H57)</f>
        <v>220080.6</v>
      </c>
      <c r="I48" s="209">
        <f t="shared" si="1"/>
        <v>108635.60999999999</v>
      </c>
    </row>
    <row r="49" spans="2:9" x14ac:dyDescent="0.25">
      <c r="B49" s="32"/>
      <c r="C49" s="33" t="s">
        <v>165</v>
      </c>
      <c r="D49" s="210">
        <f>SUM(COG_PARTIDA_ESPECIFICA!F246)</f>
        <v>71692</v>
      </c>
      <c r="E49" s="210">
        <f>SUM(COG_PARTIDA_ESPECIFICA!G246)</f>
        <v>212938</v>
      </c>
      <c r="F49" s="210">
        <f t="shared" si="0"/>
        <v>284630</v>
      </c>
      <c r="G49" s="210">
        <f>SUM(COG_PARTIDA_ESPECIFICA!I246)</f>
        <v>263048.73000000004</v>
      </c>
      <c r="H49" s="210">
        <f>SUM(COG_PARTIDA_ESPECIFICA!J246)</f>
        <v>29169.719999999998</v>
      </c>
      <c r="I49" s="210">
        <f t="shared" si="1"/>
        <v>21581.26999999996</v>
      </c>
    </row>
    <row r="50" spans="2:9" x14ac:dyDescent="0.25">
      <c r="B50" s="32"/>
      <c r="C50" s="33" t="s">
        <v>166</v>
      </c>
      <c r="D50" s="211">
        <f>SUM(COG_PARTIDA_ESPECIFICA!F255)</f>
        <v>2575</v>
      </c>
      <c r="E50" s="211">
        <f>SUM(COG_PARTIDA_ESPECIFICA!G255)</f>
        <v>141800</v>
      </c>
      <c r="F50" s="210">
        <f t="shared" si="0"/>
        <v>144375</v>
      </c>
      <c r="G50" s="211">
        <f>SUM(COG_PARTIDA_ESPECIFICA!I255)</f>
        <v>138907.72999999998</v>
      </c>
      <c r="H50" s="211">
        <f>SUM(COG_PARTIDA_ESPECIFICA!J255)</f>
        <v>0</v>
      </c>
      <c r="I50" s="210">
        <f t="shared" si="1"/>
        <v>5467.2700000000186</v>
      </c>
    </row>
    <row r="51" spans="2:9" x14ac:dyDescent="0.25">
      <c r="B51" s="32"/>
      <c r="C51" s="33" t="s">
        <v>167</v>
      </c>
      <c r="D51" s="210">
        <f>SUM(COG_PARTIDA_ESPECIFICA!F260)</f>
        <v>129363.39</v>
      </c>
      <c r="E51" s="210">
        <f>SUM(COG_PARTIDA_ESPECIFICA!G260)</f>
        <v>0</v>
      </c>
      <c r="F51" s="210">
        <f t="shared" si="0"/>
        <v>129363.39</v>
      </c>
      <c r="G51" s="210">
        <f>SUM(COG_PARTIDA_ESPECIFICA!I260)</f>
        <v>68310</v>
      </c>
      <c r="H51" s="210">
        <f>SUM(COG_PARTIDA_ESPECIFICA!J260)</f>
        <v>68310</v>
      </c>
      <c r="I51" s="211">
        <f t="shared" si="1"/>
        <v>61053.39</v>
      </c>
    </row>
    <row r="52" spans="2:9" x14ac:dyDescent="0.25">
      <c r="B52" s="32"/>
      <c r="C52" s="33" t="s">
        <v>544</v>
      </c>
      <c r="D52" s="211">
        <f>SUM(COG_PARTIDA_ESPECIFICA!F264)</f>
        <v>0</v>
      </c>
      <c r="E52" s="211">
        <f>SUM(COG_PARTIDA_ESPECIFICA!G264)</f>
        <v>0</v>
      </c>
      <c r="F52" s="210">
        <f t="shared" si="0"/>
        <v>0</v>
      </c>
      <c r="G52" s="211">
        <f>SUM(COG_PARTIDA_ESPECIFICA!I264)</f>
        <v>0</v>
      </c>
      <c r="H52" s="211">
        <f>SUM(COG_PARTIDA_ESPECIFICA!J264)</f>
        <v>0</v>
      </c>
      <c r="I52" s="210">
        <f t="shared" si="1"/>
        <v>0</v>
      </c>
    </row>
    <row r="53" spans="2:9" x14ac:dyDescent="0.25">
      <c r="B53" s="32"/>
      <c r="C53" s="33" t="s">
        <v>168</v>
      </c>
      <c r="D53" s="211"/>
      <c r="E53" s="211"/>
      <c r="F53" s="210">
        <f t="shared" si="0"/>
        <v>0</v>
      </c>
      <c r="G53" s="211"/>
      <c r="H53" s="211"/>
      <c r="I53" s="211">
        <f t="shared" si="1"/>
        <v>0</v>
      </c>
    </row>
    <row r="54" spans="2:9" x14ac:dyDescent="0.25">
      <c r="B54" s="32"/>
      <c r="C54" s="33" t="s">
        <v>169</v>
      </c>
      <c r="D54" s="210">
        <f>SUM(COG_PARTIDA_ESPECIFICA!F267)</f>
        <v>140000</v>
      </c>
      <c r="E54" s="210">
        <f>SUM(COG_PARTIDA_ESPECIFICA!G267)</f>
        <v>232102</v>
      </c>
      <c r="F54" s="210">
        <f t="shared" si="0"/>
        <v>372102</v>
      </c>
      <c r="G54" s="210">
        <f>SUM(COG_PARTIDA_ESPECIFICA!I267)</f>
        <v>351568.32</v>
      </c>
      <c r="H54" s="210">
        <f>SUM(COG_PARTIDA_ESPECIFICA!J267)</f>
        <v>122600.88</v>
      </c>
      <c r="I54" s="210">
        <f t="shared" si="1"/>
        <v>20533.679999999993</v>
      </c>
    </row>
    <row r="55" spans="2:9" x14ac:dyDescent="0.25">
      <c r="B55" s="32"/>
      <c r="C55" s="33" t="s">
        <v>170</v>
      </c>
      <c r="D55" s="211"/>
      <c r="E55" s="211"/>
      <c r="F55" s="210">
        <f t="shared" si="0"/>
        <v>0</v>
      </c>
      <c r="G55" s="211"/>
      <c r="H55" s="211"/>
      <c r="I55" s="211">
        <f t="shared" si="1"/>
        <v>0</v>
      </c>
    </row>
    <row r="56" spans="2:9" x14ac:dyDescent="0.25">
      <c r="B56" s="32"/>
      <c r="C56" s="33" t="s">
        <v>171</v>
      </c>
      <c r="D56" s="211"/>
      <c r="E56" s="211"/>
      <c r="F56" s="210">
        <f t="shared" si="0"/>
        <v>0</v>
      </c>
      <c r="G56" s="211"/>
      <c r="H56" s="211"/>
      <c r="I56" s="211">
        <f t="shared" si="1"/>
        <v>0</v>
      </c>
    </row>
    <row r="57" spans="2:9" x14ac:dyDescent="0.25">
      <c r="B57" s="32"/>
      <c r="C57" s="33" t="s">
        <v>35</v>
      </c>
      <c r="D57" s="211"/>
      <c r="E57" s="211"/>
      <c r="F57" s="210">
        <f t="shared" si="0"/>
        <v>0</v>
      </c>
      <c r="G57" s="211"/>
      <c r="H57" s="211"/>
      <c r="I57" s="211">
        <f t="shared" si="1"/>
        <v>0</v>
      </c>
    </row>
    <row r="58" spans="2:9" x14ac:dyDescent="0.25">
      <c r="B58" s="358" t="s">
        <v>96</v>
      </c>
      <c r="C58" s="359"/>
      <c r="D58" s="209">
        <f>SUM(D59:D61)</f>
        <v>38592.699999999997</v>
      </c>
      <c r="E58" s="209">
        <f>SUM(E59:E61)</f>
        <v>0</v>
      </c>
      <c r="F58" s="209">
        <f t="shared" si="0"/>
        <v>38592.699999999997</v>
      </c>
      <c r="G58" s="209">
        <f>SUM(G59:G61)</f>
        <v>0</v>
      </c>
      <c r="H58" s="209">
        <f>SUM(H59:H61)</f>
        <v>0</v>
      </c>
      <c r="I58" s="209">
        <f t="shared" si="1"/>
        <v>38592.699999999997</v>
      </c>
    </row>
    <row r="59" spans="2:9" x14ac:dyDescent="0.25">
      <c r="B59" s="32"/>
      <c r="C59" s="33" t="s">
        <v>172</v>
      </c>
      <c r="D59" s="211"/>
      <c r="E59" s="211"/>
      <c r="F59" s="210">
        <f t="shared" si="0"/>
        <v>0</v>
      </c>
      <c r="G59" s="211"/>
      <c r="H59" s="211"/>
      <c r="I59" s="210">
        <f t="shared" si="1"/>
        <v>0</v>
      </c>
    </row>
    <row r="60" spans="2:9" x14ac:dyDescent="0.25">
      <c r="B60" s="32"/>
      <c r="C60" s="33" t="s">
        <v>173</v>
      </c>
      <c r="D60" s="211">
        <f>SUM(COG_PARTIDA_ESPECIFICA!F278)</f>
        <v>38592.699999999997</v>
      </c>
      <c r="E60" s="211">
        <f>SUM(COG_PARTIDA_ESPECIFICA!G278)</f>
        <v>0</v>
      </c>
      <c r="F60" s="210">
        <f t="shared" si="0"/>
        <v>38592.699999999997</v>
      </c>
      <c r="G60" s="211">
        <f>SUM(COG_PARTIDA_ESPECIFICA!I278)</f>
        <v>0</v>
      </c>
      <c r="H60" s="211">
        <f>SUM(COG_PARTIDA_ESPECIFICA!J278)</f>
        <v>0</v>
      </c>
      <c r="I60" s="210">
        <f t="shared" si="1"/>
        <v>38592.699999999997</v>
      </c>
    </row>
    <row r="61" spans="2:9" x14ac:dyDescent="0.25">
      <c r="B61" s="32"/>
      <c r="C61" s="33" t="s">
        <v>174</v>
      </c>
      <c r="D61" s="211"/>
      <c r="E61" s="211"/>
      <c r="F61" s="210">
        <f t="shared" si="0"/>
        <v>0</v>
      </c>
      <c r="G61" s="211"/>
      <c r="H61" s="211"/>
      <c r="I61" s="211">
        <f t="shared" si="1"/>
        <v>0</v>
      </c>
    </row>
    <row r="62" spans="2:9" x14ac:dyDescent="0.25">
      <c r="B62" s="358" t="s">
        <v>175</v>
      </c>
      <c r="C62" s="359"/>
      <c r="D62" s="209">
        <f>SUM(D63:D69)</f>
        <v>5000000</v>
      </c>
      <c r="E62" s="209">
        <f>SUM(E63:E69)</f>
        <v>0</v>
      </c>
      <c r="F62" s="209">
        <f t="shared" si="0"/>
        <v>5000000</v>
      </c>
      <c r="G62" s="209">
        <f>SUM(G63:G69)</f>
        <v>5000000</v>
      </c>
      <c r="H62" s="209">
        <f>SUM(H63:H69)</f>
        <v>0</v>
      </c>
      <c r="I62" s="209">
        <f t="shared" si="1"/>
        <v>0</v>
      </c>
    </row>
    <row r="63" spans="2:9" x14ac:dyDescent="0.25">
      <c r="B63" s="32"/>
      <c r="C63" s="33" t="s">
        <v>176</v>
      </c>
      <c r="D63" s="211"/>
      <c r="E63" s="211"/>
      <c r="F63" s="210">
        <f t="shared" si="0"/>
        <v>0</v>
      </c>
      <c r="G63" s="211"/>
      <c r="H63" s="211"/>
      <c r="I63" s="211">
        <f t="shared" si="1"/>
        <v>0</v>
      </c>
    </row>
    <row r="64" spans="2:9" x14ac:dyDescent="0.25">
      <c r="B64" s="32"/>
      <c r="C64" s="33" t="s">
        <v>177</v>
      </c>
      <c r="D64" s="211"/>
      <c r="E64" s="211"/>
      <c r="F64" s="210">
        <f t="shared" si="0"/>
        <v>0</v>
      </c>
      <c r="G64" s="211"/>
      <c r="H64" s="211"/>
      <c r="I64" s="211">
        <f t="shared" si="1"/>
        <v>0</v>
      </c>
    </row>
    <row r="65" spans="2:9" x14ac:dyDescent="0.25">
      <c r="B65" s="32"/>
      <c r="C65" s="33" t="s">
        <v>178</v>
      </c>
      <c r="D65" s="211"/>
      <c r="E65" s="211"/>
      <c r="F65" s="210">
        <f t="shared" si="0"/>
        <v>0</v>
      </c>
      <c r="G65" s="211"/>
      <c r="H65" s="211"/>
      <c r="I65" s="211">
        <f t="shared" si="1"/>
        <v>0</v>
      </c>
    </row>
    <row r="66" spans="2:9" x14ac:dyDescent="0.25">
      <c r="B66" s="32"/>
      <c r="C66" s="33" t="s">
        <v>179</v>
      </c>
      <c r="D66" s="211"/>
      <c r="E66" s="211"/>
      <c r="F66" s="210">
        <f t="shared" si="0"/>
        <v>0</v>
      </c>
      <c r="G66" s="211"/>
      <c r="H66" s="211"/>
      <c r="I66" s="211">
        <f t="shared" si="1"/>
        <v>0</v>
      </c>
    </row>
    <row r="67" spans="2:9" x14ac:dyDescent="0.25">
      <c r="B67" s="32"/>
      <c r="C67" s="33" t="s">
        <v>180</v>
      </c>
      <c r="D67" s="211">
        <f>SUM(COG_PARTIDA_ESPECIFICA!F283)</f>
        <v>5000000</v>
      </c>
      <c r="E67" s="211">
        <f>SUM(COG_PARTIDA_ESPECIFICA!G285)</f>
        <v>0</v>
      </c>
      <c r="F67" s="210">
        <f t="shared" si="0"/>
        <v>5000000</v>
      </c>
      <c r="G67" s="211">
        <f>SUM(COG_PARTIDA_ESPECIFICA!I283)</f>
        <v>5000000</v>
      </c>
      <c r="H67" s="211">
        <f>SUM(COG_PARTIDA_ESPECIFICA!J283)</f>
        <v>0</v>
      </c>
      <c r="I67" s="211">
        <f t="shared" si="1"/>
        <v>0</v>
      </c>
    </row>
    <row r="68" spans="2:9" x14ac:dyDescent="0.25">
      <c r="B68" s="32"/>
      <c r="C68" s="33" t="s">
        <v>181</v>
      </c>
      <c r="D68" s="211"/>
      <c r="E68" s="211"/>
      <c r="F68" s="210">
        <f t="shared" si="0"/>
        <v>0</v>
      </c>
      <c r="G68" s="211"/>
      <c r="H68" s="211"/>
      <c r="I68" s="211">
        <f t="shared" si="1"/>
        <v>0</v>
      </c>
    </row>
    <row r="69" spans="2:9" x14ac:dyDescent="0.25">
      <c r="B69" s="32"/>
      <c r="C69" s="33" t="s">
        <v>182</v>
      </c>
      <c r="D69" s="210">
        <v>0</v>
      </c>
      <c r="E69" s="210">
        <v>0</v>
      </c>
      <c r="F69" s="210">
        <f t="shared" si="0"/>
        <v>0</v>
      </c>
      <c r="G69" s="210">
        <v>0</v>
      </c>
      <c r="H69" s="210">
        <v>0</v>
      </c>
      <c r="I69" s="210">
        <f t="shared" si="1"/>
        <v>0</v>
      </c>
    </row>
    <row r="70" spans="2:9" x14ac:dyDescent="0.25">
      <c r="B70" s="360" t="s">
        <v>85</v>
      </c>
      <c r="C70" s="361"/>
      <c r="D70" s="212">
        <f>SUM(D71:D73)</f>
        <v>0</v>
      </c>
      <c r="E70" s="212">
        <f>SUM(E71:E73)</f>
        <v>0</v>
      </c>
      <c r="F70" s="210">
        <f t="shared" si="0"/>
        <v>0</v>
      </c>
      <c r="G70" s="212">
        <f>SUM(G71:G73)</f>
        <v>0</v>
      </c>
      <c r="H70" s="212">
        <f>SUM(H71:H73)</f>
        <v>0</v>
      </c>
      <c r="I70" s="212">
        <f t="shared" si="1"/>
        <v>0</v>
      </c>
    </row>
    <row r="71" spans="2:9" x14ac:dyDescent="0.25">
      <c r="B71" s="32"/>
      <c r="C71" s="33" t="s">
        <v>89</v>
      </c>
      <c r="D71" s="211"/>
      <c r="E71" s="211"/>
      <c r="F71" s="210">
        <f t="shared" si="0"/>
        <v>0</v>
      </c>
      <c r="G71" s="211"/>
      <c r="H71" s="211"/>
      <c r="I71" s="211">
        <f t="shared" si="1"/>
        <v>0</v>
      </c>
    </row>
    <row r="72" spans="2:9" x14ac:dyDescent="0.25">
      <c r="B72" s="32"/>
      <c r="C72" s="33" t="s">
        <v>48</v>
      </c>
      <c r="D72" s="211"/>
      <c r="E72" s="211"/>
      <c r="F72" s="210">
        <f t="shared" si="0"/>
        <v>0</v>
      </c>
      <c r="G72" s="211"/>
      <c r="H72" s="211"/>
      <c r="I72" s="211">
        <f t="shared" si="1"/>
        <v>0</v>
      </c>
    </row>
    <row r="73" spans="2:9" x14ac:dyDescent="0.25">
      <c r="B73" s="32"/>
      <c r="C73" s="33" t="s">
        <v>90</v>
      </c>
      <c r="D73" s="211">
        <v>0</v>
      </c>
      <c r="E73" s="211">
        <v>0</v>
      </c>
      <c r="F73" s="210">
        <v>0</v>
      </c>
      <c r="G73" s="211">
        <v>0</v>
      </c>
      <c r="H73" s="211">
        <v>0</v>
      </c>
      <c r="I73" s="211">
        <f t="shared" si="1"/>
        <v>0</v>
      </c>
    </row>
    <row r="74" spans="2:9" x14ac:dyDescent="0.25">
      <c r="B74" s="358" t="s">
        <v>183</v>
      </c>
      <c r="C74" s="359"/>
      <c r="D74" s="212">
        <f>SUM(D75:D81)</f>
        <v>0</v>
      </c>
      <c r="E74" s="212">
        <f>SUM(E75:E81)</f>
        <v>0</v>
      </c>
      <c r="F74" s="212">
        <f t="shared" si="0"/>
        <v>0</v>
      </c>
      <c r="G74" s="212">
        <f>SUM(G75:G81)</f>
        <v>0</v>
      </c>
      <c r="H74" s="212">
        <f>SUM(H75:H81)</f>
        <v>0</v>
      </c>
      <c r="I74" s="212">
        <f t="shared" si="1"/>
        <v>0</v>
      </c>
    </row>
    <row r="75" spans="2:9" x14ac:dyDescent="0.25">
      <c r="B75" s="32"/>
      <c r="C75" s="33" t="s">
        <v>184</v>
      </c>
      <c r="D75" s="211"/>
      <c r="E75" s="211"/>
      <c r="F75" s="210">
        <f t="shared" si="0"/>
        <v>0</v>
      </c>
      <c r="G75" s="211"/>
      <c r="H75" s="211"/>
      <c r="I75" s="211">
        <f t="shared" ref="I75:I81" si="2">+F75-G75</f>
        <v>0</v>
      </c>
    </row>
    <row r="76" spans="2:9" x14ac:dyDescent="0.25">
      <c r="B76" s="32"/>
      <c r="C76" s="33" t="s">
        <v>91</v>
      </c>
      <c r="D76" s="211"/>
      <c r="E76" s="211"/>
      <c r="F76" s="210">
        <f t="shared" ref="F76:F81" si="3">+D76+E76</f>
        <v>0</v>
      </c>
      <c r="G76" s="211"/>
      <c r="H76" s="211"/>
      <c r="I76" s="211">
        <f t="shared" si="2"/>
        <v>0</v>
      </c>
    </row>
    <row r="77" spans="2:9" x14ac:dyDescent="0.25">
      <c r="B77" s="32"/>
      <c r="C77" s="33" t="s">
        <v>92</v>
      </c>
      <c r="D77" s="211"/>
      <c r="E77" s="211"/>
      <c r="F77" s="210">
        <f t="shared" si="3"/>
        <v>0</v>
      </c>
      <c r="G77" s="211"/>
      <c r="H77" s="211"/>
      <c r="I77" s="211">
        <f t="shared" si="2"/>
        <v>0</v>
      </c>
    </row>
    <row r="78" spans="2:9" x14ac:dyDescent="0.25">
      <c r="B78" s="32"/>
      <c r="C78" s="33" t="s">
        <v>93</v>
      </c>
      <c r="D78" s="211"/>
      <c r="E78" s="211"/>
      <c r="F78" s="210">
        <f t="shared" si="3"/>
        <v>0</v>
      </c>
      <c r="G78" s="211"/>
      <c r="H78" s="211"/>
      <c r="I78" s="211">
        <f t="shared" si="2"/>
        <v>0</v>
      </c>
    </row>
    <row r="79" spans="2:9" x14ac:dyDescent="0.25">
      <c r="B79" s="32"/>
      <c r="C79" s="33" t="s">
        <v>94</v>
      </c>
      <c r="D79" s="211"/>
      <c r="E79" s="211"/>
      <c r="F79" s="210">
        <f t="shared" si="3"/>
        <v>0</v>
      </c>
      <c r="G79" s="211"/>
      <c r="H79" s="211"/>
      <c r="I79" s="211">
        <f t="shared" si="2"/>
        <v>0</v>
      </c>
    </row>
    <row r="80" spans="2:9" x14ac:dyDescent="0.25">
      <c r="B80" s="32"/>
      <c r="C80" s="33" t="s">
        <v>95</v>
      </c>
      <c r="D80" s="211"/>
      <c r="E80" s="211"/>
      <c r="F80" s="210">
        <f t="shared" si="3"/>
        <v>0</v>
      </c>
      <c r="G80" s="211"/>
      <c r="H80" s="211"/>
      <c r="I80" s="211">
        <f t="shared" si="2"/>
        <v>0</v>
      </c>
    </row>
    <row r="81" spans="1:10" x14ac:dyDescent="0.25">
      <c r="B81" s="32"/>
      <c r="C81" s="33" t="s">
        <v>185</v>
      </c>
      <c r="D81" s="211"/>
      <c r="E81" s="211"/>
      <c r="F81" s="210">
        <f t="shared" si="3"/>
        <v>0</v>
      </c>
      <c r="G81" s="211"/>
      <c r="H81" s="211"/>
      <c r="I81" s="211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13">
        <f t="shared" ref="D82:I82" si="4">+D10+D18+D28+D38+D48+D58+D62+D70+D74</f>
        <v>999999999.99499989</v>
      </c>
      <c r="E82" s="213">
        <f t="shared" si="4"/>
        <v>39503902.109999999</v>
      </c>
      <c r="F82" s="213">
        <f t="shared" si="4"/>
        <v>1039503902.1049999</v>
      </c>
      <c r="G82" s="213">
        <f t="shared" si="4"/>
        <v>1019384043.9300001</v>
      </c>
      <c r="H82" s="213">
        <f t="shared" si="4"/>
        <v>989178888</v>
      </c>
      <c r="I82" s="213">
        <f t="shared" si="4"/>
        <v>20119858.174999826</v>
      </c>
      <c r="J82" s="21"/>
    </row>
    <row r="83" spans="1:10" x14ac:dyDescent="0.25">
      <c r="D83" s="146"/>
      <c r="E83" s="146"/>
      <c r="F83" s="146"/>
      <c r="G83" s="146"/>
      <c r="H83" s="146"/>
      <c r="I83" s="146"/>
    </row>
    <row r="84" spans="1:10" ht="15.75" x14ac:dyDescent="0.25">
      <c r="D84" s="147"/>
      <c r="E84" s="147"/>
      <c r="F84" s="147"/>
      <c r="G84" s="147"/>
      <c r="H84" s="147"/>
      <c r="I84" s="147"/>
    </row>
    <row r="85" spans="1:10" x14ac:dyDescent="0.25">
      <c r="G85" s="144"/>
    </row>
    <row r="87" spans="1:10" x14ac:dyDescent="0.25">
      <c r="C87" s="105"/>
    </row>
    <row r="88" spans="1:10" x14ac:dyDescent="0.25">
      <c r="C88" s="105"/>
      <c r="H88" s="58"/>
      <c r="I88" s="58"/>
    </row>
    <row r="89" spans="1:10" x14ac:dyDescent="0.25">
      <c r="C89" s="105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C23" sqref="C23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6"/>
      <c r="B2" s="330"/>
      <c r="C2" s="330"/>
      <c r="D2" s="330"/>
      <c r="E2" s="330"/>
      <c r="F2" s="330"/>
      <c r="G2" s="330"/>
      <c r="H2" s="330"/>
      <c r="I2" s="330"/>
    </row>
    <row r="3" spans="1:9" ht="15.75" x14ac:dyDescent="0.25">
      <c r="A3" s="166"/>
      <c r="B3" s="331" t="s">
        <v>466</v>
      </c>
      <c r="C3" s="331"/>
      <c r="D3" s="331"/>
      <c r="E3" s="331"/>
      <c r="F3" s="331"/>
      <c r="G3" s="331"/>
      <c r="H3" s="331"/>
      <c r="I3" s="331"/>
    </row>
    <row r="4" spans="1:9" x14ac:dyDescent="0.25">
      <c r="A4" s="166"/>
      <c r="B4" s="332" t="s">
        <v>123</v>
      </c>
      <c r="C4" s="332"/>
      <c r="D4" s="332"/>
      <c r="E4" s="332"/>
      <c r="F4" s="332"/>
      <c r="G4" s="332"/>
      <c r="H4" s="332"/>
      <c r="I4" s="332"/>
    </row>
    <row r="5" spans="1:9" x14ac:dyDescent="0.25">
      <c r="A5" s="166"/>
      <c r="B5" s="332" t="s">
        <v>186</v>
      </c>
      <c r="C5" s="332"/>
      <c r="D5" s="332"/>
      <c r="E5" s="332"/>
      <c r="F5" s="332"/>
      <c r="G5" s="332"/>
      <c r="H5" s="332"/>
      <c r="I5" s="332"/>
    </row>
    <row r="6" spans="1:9" x14ac:dyDescent="0.25">
      <c r="A6" s="166"/>
      <c r="B6" s="332" t="str">
        <f>+CAdmon!$A$6</f>
        <v>Del 1 de enero al 31 de diciembre de 2019</v>
      </c>
      <c r="C6" s="332"/>
      <c r="D6" s="332"/>
      <c r="E6" s="332"/>
      <c r="F6" s="332"/>
      <c r="G6" s="332"/>
      <c r="H6" s="332"/>
      <c r="I6" s="332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28" t="s">
        <v>73</v>
      </c>
      <c r="C8" s="328"/>
      <c r="D8" s="329" t="s">
        <v>125</v>
      </c>
      <c r="E8" s="329"/>
      <c r="F8" s="329"/>
      <c r="G8" s="329"/>
      <c r="H8" s="329"/>
      <c r="I8" s="329" t="s">
        <v>126</v>
      </c>
    </row>
    <row r="9" spans="1:9" ht="22.5" x14ac:dyDescent="0.25">
      <c r="B9" s="328"/>
      <c r="C9" s="328"/>
      <c r="D9" s="152" t="s">
        <v>127</v>
      </c>
      <c r="E9" s="152" t="s">
        <v>128</v>
      </c>
      <c r="F9" s="152" t="s">
        <v>107</v>
      </c>
      <c r="G9" s="152" t="s">
        <v>108</v>
      </c>
      <c r="H9" s="152" t="s">
        <v>129</v>
      </c>
      <c r="I9" s="329"/>
    </row>
    <row r="10" spans="1:9" x14ac:dyDescent="0.25">
      <c r="B10" s="328"/>
      <c r="C10" s="328"/>
      <c r="D10" s="152">
        <v>1</v>
      </c>
      <c r="E10" s="152">
        <v>2</v>
      </c>
      <c r="F10" s="152" t="s">
        <v>130</v>
      </c>
      <c r="G10" s="152">
        <v>4</v>
      </c>
      <c r="H10" s="152">
        <v>5</v>
      </c>
      <c r="I10" s="152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7" customFormat="1" x14ac:dyDescent="0.25">
      <c r="A12" s="37"/>
      <c r="B12" s="362" t="s">
        <v>187</v>
      </c>
      <c r="C12" s="363"/>
      <c r="D12" s="214">
        <f t="shared" ref="D12:I12" si="0">SUM(D13:D20)</f>
        <v>999999999.99499989</v>
      </c>
      <c r="E12" s="214">
        <f t="shared" si="0"/>
        <v>39503902.109999999</v>
      </c>
      <c r="F12" s="214">
        <f t="shared" si="0"/>
        <v>1039503902.1049999</v>
      </c>
      <c r="G12" s="214">
        <f t="shared" si="0"/>
        <v>1019384043.9300001</v>
      </c>
      <c r="H12" s="214">
        <f t="shared" si="0"/>
        <v>989178888</v>
      </c>
      <c r="I12" s="214">
        <f t="shared" si="0"/>
        <v>20119858.174999833</v>
      </c>
    </row>
    <row r="13" spans="1:9" s="167" customFormat="1" x14ac:dyDescent="0.25">
      <c r="A13" s="37"/>
      <c r="B13" s="38"/>
      <c r="C13" s="39" t="s">
        <v>188</v>
      </c>
      <c r="D13" s="215"/>
      <c r="E13" s="215"/>
      <c r="F13" s="215">
        <f>+D13+E13</f>
        <v>0</v>
      </c>
      <c r="G13" s="215"/>
      <c r="H13" s="215"/>
      <c r="I13" s="215">
        <f>+F13-G13</f>
        <v>0</v>
      </c>
    </row>
    <row r="14" spans="1:9" s="167" customFormat="1" x14ac:dyDescent="0.25">
      <c r="A14" s="37"/>
      <c r="B14" s="38"/>
      <c r="C14" s="39" t="s">
        <v>189</v>
      </c>
      <c r="D14" s="215">
        <f>SUM(COG!D82)</f>
        <v>999999999.99499989</v>
      </c>
      <c r="E14" s="215">
        <f>SUM(COG!E82)</f>
        <v>39503902.109999999</v>
      </c>
      <c r="F14" s="215">
        <f t="shared" ref="F14:F20" si="1">+D14+E14</f>
        <v>1039503902.1049999</v>
      </c>
      <c r="G14" s="215">
        <f>SUM(COG!G82)</f>
        <v>1019384043.9300001</v>
      </c>
      <c r="H14" s="215">
        <f>SUM(COG!H82)</f>
        <v>989178888</v>
      </c>
      <c r="I14" s="215">
        <f t="shared" ref="I14:I20" si="2">+F14-G14</f>
        <v>20119858.174999833</v>
      </c>
    </row>
    <row r="15" spans="1:9" s="167" customFormat="1" x14ac:dyDescent="0.25">
      <c r="A15" s="37"/>
      <c r="B15" s="38"/>
      <c r="C15" s="39" t="s">
        <v>190</v>
      </c>
      <c r="D15" s="216"/>
      <c r="E15" s="216"/>
      <c r="F15" s="216">
        <f t="shared" si="1"/>
        <v>0</v>
      </c>
      <c r="G15" s="216"/>
      <c r="H15" s="216"/>
      <c r="I15" s="216">
        <f t="shared" si="2"/>
        <v>0</v>
      </c>
    </row>
    <row r="16" spans="1:9" s="167" customFormat="1" x14ac:dyDescent="0.25">
      <c r="A16" s="37"/>
      <c r="B16" s="38"/>
      <c r="C16" s="39" t="s">
        <v>191</v>
      </c>
      <c r="D16" s="216"/>
      <c r="E16" s="216"/>
      <c r="F16" s="216">
        <f t="shared" si="1"/>
        <v>0</v>
      </c>
      <c r="G16" s="216"/>
      <c r="H16" s="216"/>
      <c r="I16" s="216">
        <f t="shared" si="2"/>
        <v>0</v>
      </c>
    </row>
    <row r="17" spans="1:9" s="167" customFormat="1" x14ac:dyDescent="0.25">
      <c r="A17" s="37"/>
      <c r="B17" s="38"/>
      <c r="C17" s="39" t="s">
        <v>192</v>
      </c>
      <c r="D17" s="216"/>
      <c r="E17" s="216"/>
      <c r="F17" s="216">
        <f t="shared" si="1"/>
        <v>0</v>
      </c>
      <c r="G17" s="216"/>
      <c r="H17" s="216"/>
      <c r="I17" s="216">
        <f t="shared" si="2"/>
        <v>0</v>
      </c>
    </row>
    <row r="18" spans="1:9" s="167" customFormat="1" x14ac:dyDescent="0.25">
      <c r="A18" s="37"/>
      <c r="B18" s="38"/>
      <c r="C18" s="39" t="s">
        <v>193</v>
      </c>
      <c r="D18" s="216"/>
      <c r="E18" s="216"/>
      <c r="F18" s="216">
        <f t="shared" si="1"/>
        <v>0</v>
      </c>
      <c r="G18" s="216"/>
      <c r="H18" s="216"/>
      <c r="I18" s="216">
        <f t="shared" si="2"/>
        <v>0</v>
      </c>
    </row>
    <row r="19" spans="1:9" s="167" customFormat="1" x14ac:dyDescent="0.25">
      <c r="A19" s="37"/>
      <c r="B19" s="38"/>
      <c r="C19" s="39" t="s">
        <v>194</v>
      </c>
      <c r="D19" s="216"/>
      <c r="E19" s="216"/>
      <c r="F19" s="216">
        <f t="shared" si="1"/>
        <v>0</v>
      </c>
      <c r="G19" s="216"/>
      <c r="H19" s="216"/>
      <c r="I19" s="216">
        <f t="shared" si="2"/>
        <v>0</v>
      </c>
    </row>
    <row r="20" spans="1:9" s="167" customFormat="1" x14ac:dyDescent="0.25">
      <c r="A20" s="37"/>
      <c r="B20" s="38"/>
      <c r="C20" s="39" t="s">
        <v>162</v>
      </c>
      <c r="D20" s="216"/>
      <c r="E20" s="216"/>
      <c r="F20" s="216">
        <f t="shared" si="1"/>
        <v>0</v>
      </c>
      <c r="G20" s="216"/>
      <c r="H20" s="216"/>
      <c r="I20" s="216">
        <f t="shared" si="2"/>
        <v>0</v>
      </c>
    </row>
    <row r="21" spans="1:9" s="167" customFormat="1" x14ac:dyDescent="0.25">
      <c r="A21" s="37"/>
      <c r="B21" s="38"/>
      <c r="C21" s="39"/>
      <c r="D21" s="216"/>
      <c r="E21" s="216"/>
      <c r="F21" s="216"/>
      <c r="G21" s="216"/>
      <c r="H21" s="216"/>
      <c r="I21" s="216"/>
    </row>
    <row r="22" spans="1:9" s="168" customFormat="1" x14ac:dyDescent="0.25">
      <c r="A22" s="40"/>
      <c r="B22" s="362" t="s">
        <v>195</v>
      </c>
      <c r="C22" s="363"/>
      <c r="D22" s="217">
        <f>SUM(D23:D29)</f>
        <v>0</v>
      </c>
      <c r="E22" s="217">
        <f>SUM(E23:E29)</f>
        <v>0</v>
      </c>
      <c r="F22" s="217">
        <f>+D22+E22</f>
        <v>0</v>
      </c>
      <c r="G22" s="217">
        <f>SUM(G23:G29)</f>
        <v>0</v>
      </c>
      <c r="H22" s="217">
        <f>SUM(H23:H29)</f>
        <v>0</v>
      </c>
      <c r="I22" s="217">
        <f>+F22-G22</f>
        <v>0</v>
      </c>
    </row>
    <row r="23" spans="1:9" s="167" customFormat="1" x14ac:dyDescent="0.25">
      <c r="A23" s="37"/>
      <c r="B23" s="38"/>
      <c r="C23" s="39" t="s">
        <v>196</v>
      </c>
      <c r="D23" s="218"/>
      <c r="E23" s="218"/>
      <c r="F23" s="216">
        <f t="shared" ref="F23:F29" si="3">+D23+E23</f>
        <v>0</v>
      </c>
      <c r="G23" s="218"/>
      <c r="H23" s="218"/>
      <c r="I23" s="216">
        <f t="shared" ref="I23:I29" si="4">+F23-G23</f>
        <v>0</v>
      </c>
    </row>
    <row r="24" spans="1:9" s="167" customFormat="1" x14ac:dyDescent="0.25">
      <c r="A24" s="37"/>
      <c r="B24" s="38"/>
      <c r="C24" s="39" t="s">
        <v>197</v>
      </c>
      <c r="D24" s="218"/>
      <c r="E24" s="218"/>
      <c r="F24" s="216">
        <f t="shared" si="3"/>
        <v>0</v>
      </c>
      <c r="G24" s="218"/>
      <c r="H24" s="218"/>
      <c r="I24" s="216">
        <f t="shared" si="4"/>
        <v>0</v>
      </c>
    </row>
    <row r="25" spans="1:9" s="167" customFormat="1" x14ac:dyDescent="0.25">
      <c r="A25" s="37"/>
      <c r="B25" s="38"/>
      <c r="C25" s="39" t="s">
        <v>198</v>
      </c>
      <c r="D25" s="218"/>
      <c r="E25" s="218"/>
      <c r="F25" s="216">
        <f t="shared" si="3"/>
        <v>0</v>
      </c>
      <c r="G25" s="218"/>
      <c r="H25" s="218"/>
      <c r="I25" s="216">
        <f t="shared" si="4"/>
        <v>0</v>
      </c>
    </row>
    <row r="26" spans="1:9" s="167" customFormat="1" x14ac:dyDescent="0.25">
      <c r="A26" s="37"/>
      <c r="B26" s="38"/>
      <c r="C26" s="39" t="s">
        <v>199</v>
      </c>
      <c r="D26" s="218"/>
      <c r="E26" s="218"/>
      <c r="F26" s="216">
        <f t="shared" si="3"/>
        <v>0</v>
      </c>
      <c r="G26" s="218"/>
      <c r="H26" s="218"/>
      <c r="I26" s="216">
        <f t="shared" si="4"/>
        <v>0</v>
      </c>
    </row>
    <row r="27" spans="1:9" s="167" customFormat="1" x14ac:dyDescent="0.25">
      <c r="A27" s="37"/>
      <c r="B27" s="38"/>
      <c r="C27" s="39" t="s">
        <v>200</v>
      </c>
      <c r="D27" s="218"/>
      <c r="E27" s="218"/>
      <c r="F27" s="216">
        <f t="shared" si="3"/>
        <v>0</v>
      </c>
      <c r="G27" s="218"/>
      <c r="H27" s="218"/>
      <c r="I27" s="216">
        <f t="shared" si="4"/>
        <v>0</v>
      </c>
    </row>
    <row r="28" spans="1:9" s="167" customFormat="1" x14ac:dyDescent="0.25">
      <c r="A28" s="37"/>
      <c r="B28" s="38"/>
      <c r="C28" s="39" t="s">
        <v>201</v>
      </c>
      <c r="D28" s="218"/>
      <c r="E28" s="218"/>
      <c r="F28" s="216">
        <f t="shared" si="3"/>
        <v>0</v>
      </c>
      <c r="G28" s="218"/>
      <c r="H28" s="218"/>
      <c r="I28" s="216">
        <f t="shared" si="4"/>
        <v>0</v>
      </c>
    </row>
    <row r="29" spans="1:9" s="167" customFormat="1" x14ac:dyDescent="0.25">
      <c r="A29" s="37"/>
      <c r="B29" s="38"/>
      <c r="C29" s="39" t="s">
        <v>202</v>
      </c>
      <c r="D29" s="218"/>
      <c r="E29" s="218"/>
      <c r="F29" s="216">
        <f t="shared" si="3"/>
        <v>0</v>
      </c>
      <c r="G29" s="218"/>
      <c r="H29" s="218"/>
      <c r="I29" s="216">
        <f t="shared" si="4"/>
        <v>0</v>
      </c>
    </row>
    <row r="30" spans="1:9" s="167" customFormat="1" x14ac:dyDescent="0.25">
      <c r="A30" s="37"/>
      <c r="B30" s="38"/>
      <c r="C30" s="39"/>
      <c r="D30" s="218"/>
      <c r="E30" s="218"/>
      <c r="F30" s="218"/>
      <c r="G30" s="218"/>
      <c r="H30" s="218"/>
      <c r="I30" s="218"/>
    </row>
    <row r="31" spans="1:9" s="168" customFormat="1" x14ac:dyDescent="0.25">
      <c r="A31" s="40"/>
      <c r="B31" s="362" t="s">
        <v>203</v>
      </c>
      <c r="C31" s="363"/>
      <c r="D31" s="219">
        <f>SUM(D32:D40)</f>
        <v>0</v>
      </c>
      <c r="E31" s="219">
        <f>SUM(E32:E40)</f>
        <v>0</v>
      </c>
      <c r="F31" s="219">
        <f>+D31+E31</f>
        <v>0</v>
      </c>
      <c r="G31" s="219">
        <f>SUM(G32:G40)</f>
        <v>0</v>
      </c>
      <c r="H31" s="219">
        <f>SUM(H32:H40)</f>
        <v>0</v>
      </c>
      <c r="I31" s="219">
        <f>+F31-G31</f>
        <v>0</v>
      </c>
    </row>
    <row r="32" spans="1:9" s="167" customFormat="1" x14ac:dyDescent="0.25">
      <c r="A32" s="37"/>
      <c r="B32" s="38"/>
      <c r="C32" s="39" t="s">
        <v>204</v>
      </c>
      <c r="D32" s="218"/>
      <c r="E32" s="218"/>
      <c r="F32" s="218">
        <f t="shared" ref="F32:F40" si="5">+D32+E32</f>
        <v>0</v>
      </c>
      <c r="G32" s="218"/>
      <c r="H32" s="218"/>
      <c r="I32" s="218">
        <f t="shared" ref="I32:I40" si="6">+F32-G32</f>
        <v>0</v>
      </c>
    </row>
    <row r="33" spans="1:9" s="167" customFormat="1" x14ac:dyDescent="0.25">
      <c r="A33" s="37"/>
      <c r="B33" s="38"/>
      <c r="C33" s="39" t="s">
        <v>205</v>
      </c>
      <c r="D33" s="218"/>
      <c r="E33" s="218"/>
      <c r="F33" s="218">
        <f t="shared" si="5"/>
        <v>0</v>
      </c>
      <c r="G33" s="218"/>
      <c r="H33" s="218"/>
      <c r="I33" s="218">
        <f t="shared" si="6"/>
        <v>0</v>
      </c>
    </row>
    <row r="34" spans="1:9" s="167" customFormat="1" x14ac:dyDescent="0.25">
      <c r="A34" s="37"/>
      <c r="B34" s="38"/>
      <c r="C34" s="39" t="s">
        <v>206</v>
      </c>
      <c r="D34" s="218"/>
      <c r="E34" s="218"/>
      <c r="F34" s="218">
        <f t="shared" si="5"/>
        <v>0</v>
      </c>
      <c r="G34" s="218"/>
      <c r="H34" s="218"/>
      <c r="I34" s="218">
        <f t="shared" si="6"/>
        <v>0</v>
      </c>
    </row>
    <row r="35" spans="1:9" s="167" customFormat="1" x14ac:dyDescent="0.25">
      <c r="A35" s="37"/>
      <c r="B35" s="38"/>
      <c r="C35" s="39" t="s">
        <v>207</v>
      </c>
      <c r="D35" s="218"/>
      <c r="E35" s="218"/>
      <c r="F35" s="218">
        <f t="shared" si="5"/>
        <v>0</v>
      </c>
      <c r="G35" s="218"/>
      <c r="H35" s="218"/>
      <c r="I35" s="218">
        <f t="shared" si="6"/>
        <v>0</v>
      </c>
    </row>
    <row r="36" spans="1:9" s="167" customFormat="1" x14ac:dyDescent="0.25">
      <c r="A36" s="37"/>
      <c r="B36" s="38"/>
      <c r="C36" s="39" t="s">
        <v>208</v>
      </c>
      <c r="D36" s="218"/>
      <c r="E36" s="218"/>
      <c r="F36" s="218">
        <f t="shared" si="5"/>
        <v>0</v>
      </c>
      <c r="G36" s="218"/>
      <c r="H36" s="218"/>
      <c r="I36" s="218">
        <f t="shared" si="6"/>
        <v>0</v>
      </c>
    </row>
    <row r="37" spans="1:9" s="167" customFormat="1" x14ac:dyDescent="0.25">
      <c r="A37" s="37"/>
      <c r="B37" s="38"/>
      <c r="C37" s="39" t="s">
        <v>209</v>
      </c>
      <c r="D37" s="218"/>
      <c r="E37" s="218"/>
      <c r="F37" s="218">
        <f t="shared" si="5"/>
        <v>0</v>
      </c>
      <c r="G37" s="218"/>
      <c r="H37" s="218"/>
      <c r="I37" s="218">
        <f t="shared" si="6"/>
        <v>0</v>
      </c>
    </row>
    <row r="38" spans="1:9" s="167" customFormat="1" x14ac:dyDescent="0.25">
      <c r="A38" s="37"/>
      <c r="B38" s="38"/>
      <c r="C38" s="39" t="s">
        <v>210</v>
      </c>
      <c r="D38" s="218"/>
      <c r="E38" s="218"/>
      <c r="F38" s="218">
        <f t="shared" si="5"/>
        <v>0</v>
      </c>
      <c r="G38" s="218"/>
      <c r="H38" s="218"/>
      <c r="I38" s="218">
        <f t="shared" si="6"/>
        <v>0</v>
      </c>
    </row>
    <row r="39" spans="1:9" s="167" customFormat="1" x14ac:dyDescent="0.25">
      <c r="A39" s="37"/>
      <c r="B39" s="38"/>
      <c r="C39" s="39" t="s">
        <v>211</v>
      </c>
      <c r="D39" s="218"/>
      <c r="E39" s="218"/>
      <c r="F39" s="218">
        <f t="shared" si="5"/>
        <v>0</v>
      </c>
      <c r="G39" s="218"/>
      <c r="H39" s="218"/>
      <c r="I39" s="218">
        <f t="shared" si="6"/>
        <v>0</v>
      </c>
    </row>
    <row r="40" spans="1:9" s="167" customFormat="1" x14ac:dyDescent="0.25">
      <c r="A40" s="37"/>
      <c r="B40" s="38"/>
      <c r="C40" s="39" t="s">
        <v>212</v>
      </c>
      <c r="D40" s="218"/>
      <c r="E40" s="218"/>
      <c r="F40" s="218">
        <f t="shared" si="5"/>
        <v>0</v>
      </c>
      <c r="G40" s="218"/>
      <c r="H40" s="218"/>
      <c r="I40" s="218">
        <f t="shared" si="6"/>
        <v>0</v>
      </c>
    </row>
    <row r="41" spans="1:9" s="167" customFormat="1" x14ac:dyDescent="0.25">
      <c r="A41" s="37"/>
      <c r="B41" s="38"/>
      <c r="C41" s="39"/>
      <c r="D41" s="218"/>
      <c r="E41" s="218"/>
      <c r="F41" s="218"/>
      <c r="G41" s="218"/>
      <c r="H41" s="218"/>
      <c r="I41" s="218"/>
    </row>
    <row r="42" spans="1:9" s="168" customFormat="1" x14ac:dyDescent="0.25">
      <c r="A42" s="40"/>
      <c r="B42" s="362" t="s">
        <v>213</v>
      </c>
      <c r="C42" s="363"/>
      <c r="D42" s="219">
        <f>SUM(D43:D46)</f>
        <v>0</v>
      </c>
      <c r="E42" s="219">
        <f>SUM(E43:E46)</f>
        <v>0</v>
      </c>
      <c r="F42" s="219">
        <f>+D42+E42</f>
        <v>0</v>
      </c>
      <c r="G42" s="219">
        <f>SUM(G43:G46)</f>
        <v>0</v>
      </c>
      <c r="H42" s="219">
        <f>SUM(H43:H46)</f>
        <v>0</v>
      </c>
      <c r="I42" s="219">
        <f>+F42-G42</f>
        <v>0</v>
      </c>
    </row>
    <row r="43" spans="1:9" s="167" customFormat="1" x14ac:dyDescent="0.25">
      <c r="A43" s="37"/>
      <c r="B43" s="38"/>
      <c r="C43" s="39" t="s">
        <v>214</v>
      </c>
      <c r="D43" s="218"/>
      <c r="E43" s="218"/>
      <c r="F43" s="218">
        <f>+D43+E43</f>
        <v>0</v>
      </c>
      <c r="G43" s="218"/>
      <c r="H43" s="218"/>
      <c r="I43" s="218">
        <f>+F43-G43</f>
        <v>0</v>
      </c>
    </row>
    <row r="44" spans="1:9" s="167" customFormat="1" ht="22.5" x14ac:dyDescent="0.25">
      <c r="A44" s="37"/>
      <c r="B44" s="38"/>
      <c r="C44" s="39" t="s">
        <v>215</v>
      </c>
      <c r="D44" s="218"/>
      <c r="E44" s="218"/>
      <c r="F44" s="218">
        <f>+D44+E44</f>
        <v>0</v>
      </c>
      <c r="G44" s="218"/>
      <c r="H44" s="218"/>
      <c r="I44" s="218">
        <f>+F44-G44</f>
        <v>0</v>
      </c>
    </row>
    <row r="45" spans="1:9" s="167" customFormat="1" x14ac:dyDescent="0.25">
      <c r="A45" s="37"/>
      <c r="B45" s="38"/>
      <c r="C45" s="39" t="s">
        <v>216</v>
      </c>
      <c r="D45" s="218"/>
      <c r="E45" s="218"/>
      <c r="F45" s="218">
        <f>+D45+E45</f>
        <v>0</v>
      </c>
      <c r="G45" s="218"/>
      <c r="H45" s="218"/>
      <c r="I45" s="218">
        <f>+F45-G45</f>
        <v>0</v>
      </c>
    </row>
    <row r="46" spans="1:9" s="167" customFormat="1" x14ac:dyDescent="0.25">
      <c r="A46" s="37"/>
      <c r="B46" s="38"/>
      <c r="C46" s="39" t="s">
        <v>217</v>
      </c>
      <c r="D46" s="218"/>
      <c r="E46" s="218"/>
      <c r="F46" s="218">
        <f>+D46+E46</f>
        <v>0</v>
      </c>
      <c r="G46" s="218"/>
      <c r="H46" s="218"/>
      <c r="I46" s="218">
        <f>+F46-G46</f>
        <v>0</v>
      </c>
    </row>
    <row r="47" spans="1:9" s="167" customFormat="1" x14ac:dyDescent="0.25">
      <c r="A47" s="37"/>
      <c r="B47" s="41"/>
      <c r="C47" s="42"/>
      <c r="D47" s="220"/>
      <c r="E47" s="220"/>
      <c r="F47" s="220"/>
      <c r="G47" s="220"/>
      <c r="H47" s="220"/>
      <c r="I47" s="220"/>
    </row>
    <row r="48" spans="1:9" s="168" customFormat="1" ht="24" customHeight="1" x14ac:dyDescent="0.25">
      <c r="A48" s="40"/>
      <c r="B48" s="43"/>
      <c r="C48" s="44" t="s">
        <v>132</v>
      </c>
      <c r="D48" s="221">
        <f t="shared" ref="D48:I48" si="7">+D12+D22+D31+D42</f>
        <v>999999999.99499989</v>
      </c>
      <c r="E48" s="221">
        <f t="shared" si="7"/>
        <v>39503902.109999999</v>
      </c>
      <c r="F48" s="221">
        <f t="shared" si="7"/>
        <v>1039503902.1049999</v>
      </c>
      <c r="G48" s="221">
        <f t="shared" si="7"/>
        <v>1019384043.9300001</v>
      </c>
      <c r="H48" s="221">
        <f t="shared" si="7"/>
        <v>989178888</v>
      </c>
      <c r="I48" s="221">
        <f t="shared" si="7"/>
        <v>20119858.174999833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15" sqref="D15:E15"/>
    </sheetView>
  </sheetViews>
  <sheetFormatPr baseColWidth="10" defaultRowHeight="14.25" x14ac:dyDescent="0.2"/>
  <cols>
    <col min="1" max="1" width="3" style="169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9" customWidth="1"/>
    <col min="11" max="16384" width="11.42578125" style="55"/>
  </cols>
  <sheetData>
    <row r="1" spans="2:9" s="169" customFormat="1" x14ac:dyDescent="0.2"/>
    <row r="2" spans="2:9" s="169" customFormat="1" ht="15.75" x14ac:dyDescent="0.25">
      <c r="B2" s="331"/>
      <c r="C2" s="331"/>
      <c r="D2" s="331"/>
      <c r="E2" s="331"/>
      <c r="F2" s="331"/>
      <c r="G2" s="331"/>
      <c r="H2" s="331"/>
      <c r="I2" s="331"/>
    </row>
    <row r="3" spans="2:9" ht="15.75" x14ac:dyDescent="0.25">
      <c r="B3" s="331" t="s">
        <v>466</v>
      </c>
      <c r="C3" s="331"/>
      <c r="D3" s="331"/>
      <c r="E3" s="331"/>
      <c r="F3" s="331"/>
      <c r="G3" s="331"/>
      <c r="H3" s="331"/>
      <c r="I3" s="331"/>
    </row>
    <row r="4" spans="2:9" ht="15.75" x14ac:dyDescent="0.25">
      <c r="B4" s="331" t="s">
        <v>99</v>
      </c>
      <c r="C4" s="331"/>
      <c r="D4" s="331"/>
      <c r="E4" s="331"/>
      <c r="F4" s="331"/>
      <c r="G4" s="331"/>
      <c r="H4" s="331"/>
      <c r="I4" s="331"/>
    </row>
    <row r="5" spans="2:9" ht="15.75" x14ac:dyDescent="0.25">
      <c r="B5" s="331" t="str">
        <f>+CAdmon!$A$6</f>
        <v>Del 1 de enero al 31 de diciembre de 2019</v>
      </c>
      <c r="C5" s="331"/>
      <c r="D5" s="331"/>
      <c r="E5" s="331"/>
      <c r="F5" s="331"/>
      <c r="G5" s="331"/>
      <c r="H5" s="331"/>
      <c r="I5" s="331"/>
    </row>
    <row r="6" spans="2:9" x14ac:dyDescent="0.2">
      <c r="B6" s="169"/>
      <c r="C6" s="169"/>
      <c r="D6" s="169"/>
      <c r="E6" s="169"/>
      <c r="F6" s="169"/>
      <c r="G6" s="169"/>
      <c r="H6" s="169"/>
      <c r="I6" s="169"/>
    </row>
    <row r="7" spans="2:9" x14ac:dyDescent="0.2">
      <c r="B7" s="373" t="s">
        <v>218</v>
      </c>
      <c r="C7" s="373"/>
      <c r="D7" s="373" t="s">
        <v>219</v>
      </c>
      <c r="E7" s="373"/>
      <c r="F7" s="373" t="s">
        <v>220</v>
      </c>
      <c r="G7" s="373"/>
      <c r="H7" s="373" t="s">
        <v>221</v>
      </c>
      <c r="I7" s="373"/>
    </row>
    <row r="8" spans="2:9" x14ac:dyDescent="0.2">
      <c r="B8" s="373"/>
      <c r="C8" s="373"/>
      <c r="D8" s="373" t="s">
        <v>222</v>
      </c>
      <c r="E8" s="373"/>
      <c r="F8" s="373" t="s">
        <v>223</v>
      </c>
      <c r="G8" s="373"/>
      <c r="H8" s="373" t="s">
        <v>224</v>
      </c>
      <c r="I8" s="373"/>
    </row>
    <row r="9" spans="2:9" x14ac:dyDescent="0.2">
      <c r="B9" s="370" t="s">
        <v>225</v>
      </c>
      <c r="C9" s="371"/>
      <c r="D9" s="371"/>
      <c r="E9" s="371"/>
      <c r="F9" s="371"/>
      <c r="G9" s="371"/>
      <c r="H9" s="371"/>
      <c r="I9" s="372"/>
    </row>
    <row r="10" spans="2:9" x14ac:dyDescent="0.2">
      <c r="B10" s="364"/>
      <c r="C10" s="364"/>
      <c r="D10" s="364"/>
      <c r="E10" s="364"/>
      <c r="F10" s="364"/>
      <c r="G10" s="364"/>
      <c r="H10" s="368">
        <f>+D10-F10</f>
        <v>0</v>
      </c>
      <c r="I10" s="369"/>
    </row>
    <row r="11" spans="2:9" x14ac:dyDescent="0.2">
      <c r="B11" s="364" t="s">
        <v>291</v>
      </c>
      <c r="C11" s="364"/>
      <c r="D11" s="365"/>
      <c r="E11" s="365"/>
      <c r="F11" s="365"/>
      <c r="G11" s="365"/>
      <c r="H11" s="368">
        <f t="shared" ref="H11:H19" si="0">+D11-F11</f>
        <v>0</v>
      </c>
      <c r="I11" s="369"/>
    </row>
    <row r="12" spans="2:9" x14ac:dyDescent="0.2">
      <c r="B12" s="364"/>
      <c r="C12" s="364"/>
      <c r="D12" s="365"/>
      <c r="E12" s="365"/>
      <c r="F12" s="365"/>
      <c r="G12" s="365"/>
      <c r="H12" s="368">
        <f t="shared" si="0"/>
        <v>0</v>
      </c>
      <c r="I12" s="369"/>
    </row>
    <row r="13" spans="2:9" x14ac:dyDescent="0.2">
      <c r="B13" s="364"/>
      <c r="C13" s="364"/>
      <c r="D13" s="365"/>
      <c r="E13" s="365"/>
      <c r="F13" s="365"/>
      <c r="G13" s="365"/>
      <c r="H13" s="368">
        <f t="shared" si="0"/>
        <v>0</v>
      </c>
      <c r="I13" s="369"/>
    </row>
    <row r="14" spans="2:9" x14ac:dyDescent="0.2">
      <c r="B14" s="364"/>
      <c r="C14" s="364"/>
      <c r="D14" s="365"/>
      <c r="E14" s="365"/>
      <c r="F14" s="365"/>
      <c r="G14" s="365"/>
      <c r="H14" s="368">
        <f t="shared" si="0"/>
        <v>0</v>
      </c>
      <c r="I14" s="369"/>
    </row>
    <row r="15" spans="2:9" x14ac:dyDescent="0.2">
      <c r="B15" s="364"/>
      <c r="C15" s="364"/>
      <c r="D15" s="365"/>
      <c r="E15" s="365"/>
      <c r="F15" s="365"/>
      <c r="G15" s="365"/>
      <c r="H15" s="368">
        <f t="shared" si="0"/>
        <v>0</v>
      </c>
      <c r="I15" s="369"/>
    </row>
    <row r="16" spans="2:9" x14ac:dyDescent="0.2">
      <c r="B16" s="364"/>
      <c r="C16" s="364"/>
      <c r="D16" s="365"/>
      <c r="E16" s="365"/>
      <c r="F16" s="365"/>
      <c r="G16" s="365"/>
      <c r="H16" s="368">
        <f t="shared" si="0"/>
        <v>0</v>
      </c>
      <c r="I16" s="369"/>
    </row>
    <row r="17" spans="2:9" x14ac:dyDescent="0.2">
      <c r="B17" s="364"/>
      <c r="C17" s="364"/>
      <c r="D17" s="365"/>
      <c r="E17" s="365"/>
      <c r="F17" s="365"/>
      <c r="G17" s="365"/>
      <c r="H17" s="368">
        <f t="shared" si="0"/>
        <v>0</v>
      </c>
      <c r="I17" s="369"/>
    </row>
    <row r="18" spans="2:9" x14ac:dyDescent="0.2">
      <c r="B18" s="364"/>
      <c r="C18" s="364"/>
      <c r="D18" s="365"/>
      <c r="E18" s="365"/>
      <c r="F18" s="365"/>
      <c r="G18" s="365"/>
      <c r="H18" s="368">
        <f t="shared" si="0"/>
        <v>0</v>
      </c>
      <c r="I18" s="369"/>
    </row>
    <row r="19" spans="2:9" x14ac:dyDescent="0.2">
      <c r="B19" s="364" t="s">
        <v>226</v>
      </c>
      <c r="C19" s="364"/>
      <c r="D19" s="365">
        <f>SUM(D10:E18)</f>
        <v>0</v>
      </c>
      <c r="E19" s="365"/>
      <c r="F19" s="365">
        <f>SUM(F10:G18)</f>
        <v>0</v>
      </c>
      <c r="G19" s="365"/>
      <c r="H19" s="368">
        <f t="shared" si="0"/>
        <v>0</v>
      </c>
      <c r="I19" s="369"/>
    </row>
    <row r="20" spans="2:9" x14ac:dyDescent="0.2">
      <c r="B20" s="364"/>
      <c r="C20" s="364"/>
      <c r="D20" s="364"/>
      <c r="E20" s="364"/>
      <c r="F20" s="364"/>
      <c r="G20" s="364"/>
      <c r="H20" s="364"/>
      <c r="I20" s="364"/>
    </row>
    <row r="21" spans="2:9" x14ac:dyDescent="0.2">
      <c r="B21" s="370" t="s">
        <v>227</v>
      </c>
      <c r="C21" s="371"/>
      <c r="D21" s="371"/>
      <c r="E21" s="371"/>
      <c r="F21" s="371"/>
      <c r="G21" s="371"/>
      <c r="H21" s="371"/>
      <c r="I21" s="372"/>
    </row>
    <row r="22" spans="2:9" x14ac:dyDescent="0.2">
      <c r="B22" s="364"/>
      <c r="C22" s="364"/>
      <c r="D22" s="364"/>
      <c r="E22" s="364"/>
      <c r="F22" s="364"/>
      <c r="G22" s="364"/>
      <c r="H22" s="364"/>
      <c r="I22" s="364"/>
    </row>
    <row r="23" spans="2:9" x14ac:dyDescent="0.2">
      <c r="B23" s="364"/>
      <c r="C23" s="364"/>
      <c r="D23" s="365"/>
      <c r="E23" s="365"/>
      <c r="F23" s="365"/>
      <c r="G23" s="365"/>
      <c r="H23" s="368">
        <f>+D23-F23</f>
        <v>0</v>
      </c>
      <c r="I23" s="369"/>
    </row>
    <row r="24" spans="2:9" x14ac:dyDescent="0.2">
      <c r="B24" s="364"/>
      <c r="C24" s="364"/>
      <c r="D24" s="365"/>
      <c r="E24" s="365"/>
      <c r="F24" s="365"/>
      <c r="G24" s="365"/>
      <c r="H24" s="368">
        <f>+D24-F24</f>
        <v>0</v>
      </c>
      <c r="I24" s="369"/>
    </row>
    <row r="25" spans="2:9" x14ac:dyDescent="0.2">
      <c r="B25" s="364" t="s">
        <v>291</v>
      </c>
      <c r="C25" s="364"/>
      <c r="D25" s="365"/>
      <c r="E25" s="365"/>
      <c r="F25" s="365"/>
      <c r="G25" s="365"/>
      <c r="H25" s="368">
        <f t="shared" ref="H25:H30" si="1">+D25-F25</f>
        <v>0</v>
      </c>
      <c r="I25" s="369"/>
    </row>
    <row r="26" spans="2:9" x14ac:dyDescent="0.2">
      <c r="B26" s="364"/>
      <c r="C26" s="364"/>
      <c r="D26" s="365"/>
      <c r="E26" s="365"/>
      <c r="F26" s="365"/>
      <c r="G26" s="365"/>
      <c r="H26" s="368">
        <f t="shared" si="1"/>
        <v>0</v>
      </c>
      <c r="I26" s="369"/>
    </row>
    <row r="27" spans="2:9" x14ac:dyDescent="0.2">
      <c r="B27" s="364"/>
      <c r="C27" s="364"/>
      <c r="D27" s="365"/>
      <c r="E27" s="365"/>
      <c r="F27" s="365"/>
      <c r="G27" s="365"/>
      <c r="H27" s="368">
        <f t="shared" si="1"/>
        <v>0</v>
      </c>
      <c r="I27" s="369"/>
    </row>
    <row r="28" spans="2:9" x14ac:dyDescent="0.2">
      <c r="B28" s="364"/>
      <c r="C28" s="364"/>
      <c r="D28" s="365"/>
      <c r="E28" s="365"/>
      <c r="F28" s="365"/>
      <c r="G28" s="365"/>
      <c r="H28" s="368">
        <f t="shared" si="1"/>
        <v>0</v>
      </c>
      <c r="I28" s="369"/>
    </row>
    <row r="29" spans="2:9" x14ac:dyDescent="0.2">
      <c r="B29" s="364"/>
      <c r="C29" s="364"/>
      <c r="D29" s="365"/>
      <c r="E29" s="365"/>
      <c r="F29" s="365"/>
      <c r="G29" s="365"/>
      <c r="H29" s="368">
        <f t="shared" si="1"/>
        <v>0</v>
      </c>
      <c r="I29" s="369"/>
    </row>
    <row r="30" spans="2:9" x14ac:dyDescent="0.2">
      <c r="B30" s="364"/>
      <c r="C30" s="364"/>
      <c r="D30" s="365"/>
      <c r="E30" s="365"/>
      <c r="F30" s="365"/>
      <c r="G30" s="365"/>
      <c r="H30" s="368">
        <f t="shared" si="1"/>
        <v>0</v>
      </c>
      <c r="I30" s="369"/>
    </row>
    <row r="31" spans="2:9" x14ac:dyDescent="0.2">
      <c r="B31" s="364" t="s">
        <v>228</v>
      </c>
      <c r="C31" s="364"/>
      <c r="D31" s="365">
        <f>SUM(D22:E30)</f>
        <v>0</v>
      </c>
      <c r="E31" s="365"/>
      <c r="F31" s="365">
        <f>SUM(F22:G30)</f>
        <v>0</v>
      </c>
      <c r="G31" s="365"/>
      <c r="H31" s="365">
        <f>+D31-F31</f>
        <v>0</v>
      </c>
      <c r="I31" s="365"/>
    </row>
    <row r="32" spans="2:9" x14ac:dyDescent="0.2">
      <c r="B32" s="364"/>
      <c r="C32" s="364"/>
      <c r="D32" s="365"/>
      <c r="E32" s="365"/>
      <c r="F32" s="365"/>
      <c r="G32" s="365"/>
      <c r="H32" s="365"/>
      <c r="I32" s="365"/>
    </row>
    <row r="33" spans="2:9" x14ac:dyDescent="0.2">
      <c r="B33" s="366" t="s">
        <v>97</v>
      </c>
      <c r="C33" s="367"/>
      <c r="D33" s="368">
        <f>+D19+D31</f>
        <v>0</v>
      </c>
      <c r="E33" s="369"/>
      <c r="F33" s="368">
        <f>+F19+F31</f>
        <v>0</v>
      </c>
      <c r="G33" s="369"/>
      <c r="H33" s="368">
        <f>+H19+H31</f>
        <v>0</v>
      </c>
      <c r="I33" s="369"/>
    </row>
    <row r="34" spans="2:9" x14ac:dyDescent="0.2">
      <c r="B34" s="169"/>
      <c r="C34" s="169"/>
      <c r="D34" s="169"/>
      <c r="E34" s="169"/>
      <c r="F34" s="169"/>
      <c r="G34" s="169"/>
      <c r="H34" s="169"/>
      <c r="I34" s="169"/>
    </row>
    <row r="35" spans="2:9" x14ac:dyDescent="0.2">
      <c r="B35" s="169"/>
      <c r="C35" s="169"/>
      <c r="D35" s="169"/>
      <c r="E35" s="169"/>
      <c r="F35" s="169"/>
      <c r="G35" s="169"/>
      <c r="H35" s="169"/>
      <c r="I35" s="169"/>
    </row>
    <row r="36" spans="2:9" x14ac:dyDescent="0.2">
      <c r="B36" s="169"/>
      <c r="C36" s="169"/>
      <c r="D36" s="169"/>
      <c r="E36" s="169"/>
      <c r="F36" s="169"/>
      <c r="G36" s="169"/>
      <c r="H36" s="169"/>
      <c r="I36" s="169"/>
    </row>
    <row r="37" spans="2:9" x14ac:dyDescent="0.2">
      <c r="B37" s="169"/>
      <c r="C37" s="169"/>
      <c r="D37" s="169"/>
      <c r="E37" s="169"/>
      <c r="F37" s="169"/>
      <c r="G37" s="169"/>
      <c r="H37" s="169"/>
      <c r="I37" s="169"/>
    </row>
    <row r="38" spans="2:9" x14ac:dyDescent="0.2">
      <c r="B38" s="169"/>
      <c r="C38" s="169"/>
      <c r="D38" s="169"/>
      <c r="E38" s="169"/>
      <c r="F38" s="169"/>
      <c r="G38" s="169"/>
      <c r="H38" s="169"/>
      <c r="I38" s="169"/>
    </row>
    <row r="39" spans="2:9" x14ac:dyDescent="0.2">
      <c r="B39" s="169"/>
      <c r="C39" s="169"/>
      <c r="D39" s="169"/>
      <c r="E39" s="169"/>
      <c r="F39" s="169"/>
      <c r="G39" s="169"/>
      <c r="H39" s="169"/>
      <c r="I39" s="169"/>
    </row>
    <row r="40" spans="2:9" x14ac:dyDescent="0.2">
      <c r="B40" s="169"/>
      <c r="C40" s="169"/>
      <c r="D40" s="169"/>
      <c r="E40" s="169"/>
      <c r="F40" s="169"/>
      <c r="G40" s="169"/>
      <c r="H40" s="169"/>
      <c r="I40" s="169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Hoja1</vt:lpstr>
      <vt:lpstr>COG_PARTIDA_ESPECIFICA</vt:lpstr>
      <vt:lpstr>Hoja2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2020-03-04T22:40:47Z</dcterms:modified>
</cp:coreProperties>
</file>