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COG_PARTIDA_ESPECIFICA" sheetId="1" r:id="rId1"/>
  </sheets>
  <definedNames>
    <definedName name="_xlnm.Print_Area" localSheetId="0">COG_PARTIDA_ESPECIFICA!$A$10:$K$297</definedName>
    <definedName name="Print_Area" localSheetId="0">COG_PARTIDA_ESPECIFICA!#REF!</definedName>
    <definedName name="Print_Titles" localSheetId="0">COG_PARTIDA_ESPECIFICA!$9:$18</definedName>
    <definedName name="_xlnm.Print_Titles" localSheetId="0">COG_PARTIDA_ESPECIFICA!$1:$9</definedName>
  </definedNames>
  <calcPr calcId="145621"/>
</workbook>
</file>

<file path=xl/calcChain.xml><?xml version="1.0" encoding="utf-8"?>
<calcChain xmlns="http://schemas.openxmlformats.org/spreadsheetml/2006/main">
  <c r="H285" i="1" l="1"/>
  <c r="K285" i="1" s="1"/>
  <c r="K284" i="1" s="1"/>
  <c r="K283" i="1" s="1"/>
  <c r="K282" i="1" s="1"/>
  <c r="J284" i="1"/>
  <c r="J283" i="1" s="1"/>
  <c r="J282" i="1" s="1"/>
  <c r="I284" i="1"/>
  <c r="G284" i="1"/>
  <c r="G283" i="1" s="1"/>
  <c r="G282" i="1" s="1"/>
  <c r="F284" i="1"/>
  <c r="F283" i="1" s="1"/>
  <c r="I283" i="1"/>
  <c r="I282" i="1" s="1"/>
  <c r="H280" i="1"/>
  <c r="H279" i="1" s="1"/>
  <c r="J279" i="1"/>
  <c r="I279" i="1"/>
  <c r="I278" i="1" s="1"/>
  <c r="I277" i="1" s="1"/>
  <c r="G279" i="1"/>
  <c r="G278" i="1" s="1"/>
  <c r="G277" i="1" s="1"/>
  <c r="F279" i="1"/>
  <c r="F278" i="1" s="1"/>
  <c r="F277" i="1" s="1"/>
  <c r="J278" i="1"/>
  <c r="J277" i="1" s="1"/>
  <c r="H275" i="1"/>
  <c r="K275" i="1" s="1"/>
  <c r="K274" i="1" s="1"/>
  <c r="J274" i="1"/>
  <c r="I274" i="1"/>
  <c r="G274" i="1"/>
  <c r="H273" i="1"/>
  <c r="K273" i="1" s="1"/>
  <c r="K272" i="1" s="1"/>
  <c r="J272" i="1"/>
  <c r="I272" i="1"/>
  <c r="G272" i="1"/>
  <c r="G267" i="1" s="1"/>
  <c r="H271" i="1"/>
  <c r="K271" i="1" s="1"/>
  <c r="K270" i="1" s="1"/>
  <c r="J270" i="1"/>
  <c r="I270" i="1"/>
  <c r="I267" i="1" s="1"/>
  <c r="H270" i="1"/>
  <c r="G270" i="1"/>
  <c r="F270" i="1"/>
  <c r="K269" i="1"/>
  <c r="K268" i="1" s="1"/>
  <c r="H269" i="1"/>
  <c r="J268" i="1"/>
  <c r="J267" i="1" s="1"/>
  <c r="I268" i="1"/>
  <c r="H268" i="1"/>
  <c r="G268" i="1"/>
  <c r="F268" i="1"/>
  <c r="H266" i="1"/>
  <c r="K266" i="1" s="1"/>
  <c r="K265" i="1" s="1"/>
  <c r="K264" i="1" s="1"/>
  <c r="J265" i="1"/>
  <c r="I265" i="1"/>
  <c r="I264" i="1" s="1"/>
  <c r="G265" i="1"/>
  <c r="G264" i="1" s="1"/>
  <c r="J264" i="1"/>
  <c r="F264" i="1"/>
  <c r="H263" i="1"/>
  <c r="K263" i="1" s="1"/>
  <c r="K262" i="1"/>
  <c r="K261" i="1" s="1"/>
  <c r="K260" i="1" s="1"/>
  <c r="H262" i="1"/>
  <c r="J261" i="1"/>
  <c r="J260" i="1" s="1"/>
  <c r="I261" i="1"/>
  <c r="H261" i="1"/>
  <c r="H260" i="1" s="1"/>
  <c r="G261" i="1"/>
  <c r="F261" i="1"/>
  <c r="I260" i="1"/>
  <c r="G260" i="1"/>
  <c r="H259" i="1"/>
  <c r="K259" i="1" s="1"/>
  <c r="K258" i="1" s="1"/>
  <c r="J258" i="1"/>
  <c r="I258" i="1"/>
  <c r="G258" i="1"/>
  <c r="G255" i="1" s="1"/>
  <c r="H257" i="1"/>
  <c r="K257" i="1" s="1"/>
  <c r="K256" i="1" s="1"/>
  <c r="K255" i="1" s="1"/>
  <c r="J256" i="1"/>
  <c r="I256" i="1"/>
  <c r="G256" i="1"/>
  <c r="F256" i="1"/>
  <c r="F255" i="1" s="1"/>
  <c r="I255" i="1"/>
  <c r="H254" i="1"/>
  <c r="H253" i="1" s="1"/>
  <c r="J253" i="1"/>
  <c r="I253" i="1"/>
  <c r="G253" i="1"/>
  <c r="F253" i="1"/>
  <c r="H252" i="1"/>
  <c r="K252" i="1" s="1"/>
  <c r="K251" i="1"/>
  <c r="H251" i="1"/>
  <c r="H250" i="1"/>
  <c r="J249" i="1"/>
  <c r="I249" i="1"/>
  <c r="I246" i="1" s="1"/>
  <c r="I245" i="1" s="1"/>
  <c r="G249" i="1"/>
  <c r="K248" i="1"/>
  <c r="K247" i="1" s="1"/>
  <c r="H248" i="1"/>
  <c r="J247" i="1"/>
  <c r="J246" i="1" s="1"/>
  <c r="I247" i="1"/>
  <c r="H247" i="1"/>
  <c r="G247" i="1"/>
  <c r="F247" i="1"/>
  <c r="G246" i="1"/>
  <c r="H243" i="1"/>
  <c r="K243" i="1" s="1"/>
  <c r="K242" i="1" s="1"/>
  <c r="K241" i="1" s="1"/>
  <c r="J242" i="1"/>
  <c r="J241" i="1" s="1"/>
  <c r="I242" i="1"/>
  <c r="G242" i="1"/>
  <c r="G241" i="1" s="1"/>
  <c r="I241" i="1"/>
  <c r="H240" i="1"/>
  <c r="K240" i="1" s="1"/>
  <c r="K239" i="1" s="1"/>
  <c r="K238" i="1" s="1"/>
  <c r="J239" i="1"/>
  <c r="J238" i="1" s="1"/>
  <c r="I239" i="1"/>
  <c r="G239" i="1"/>
  <c r="G238" i="1" s="1"/>
  <c r="G237" i="1" s="1"/>
  <c r="F239" i="1"/>
  <c r="I238" i="1"/>
  <c r="I237" i="1" s="1"/>
  <c r="H235" i="1"/>
  <c r="K235" i="1" s="1"/>
  <c r="K234" i="1" s="1"/>
  <c r="J234" i="1"/>
  <c r="I234" i="1"/>
  <c r="I231" i="1" s="1"/>
  <c r="G234" i="1"/>
  <c r="G231" i="1" s="1"/>
  <c r="K233" i="1"/>
  <c r="K232" i="1" s="1"/>
  <c r="K231" i="1" s="1"/>
  <c r="H233" i="1"/>
  <c r="J232" i="1"/>
  <c r="I232" i="1"/>
  <c r="H232" i="1"/>
  <c r="G232" i="1"/>
  <c r="J231" i="1"/>
  <c r="H230" i="1"/>
  <c r="K230" i="1" s="1"/>
  <c r="K229" i="1"/>
  <c r="H229" i="1"/>
  <c r="J228" i="1"/>
  <c r="J227" i="1" s="1"/>
  <c r="I228" i="1"/>
  <c r="H228" i="1"/>
  <c r="H227" i="1" s="1"/>
  <c r="G228" i="1"/>
  <c r="F228" i="1"/>
  <c r="I227" i="1"/>
  <c r="G227" i="1"/>
  <c r="H226" i="1"/>
  <c r="K226" i="1" s="1"/>
  <c r="K225" i="1"/>
  <c r="H225" i="1"/>
  <c r="J224" i="1"/>
  <c r="I224" i="1"/>
  <c r="H224" i="1"/>
  <c r="G224" i="1"/>
  <c r="F224" i="1"/>
  <c r="H223" i="1"/>
  <c r="K223" i="1" s="1"/>
  <c r="K221" i="1" s="1"/>
  <c r="H222" i="1"/>
  <c r="K222" i="1" s="1"/>
  <c r="J221" i="1"/>
  <c r="I221" i="1"/>
  <c r="G221" i="1"/>
  <c r="F221" i="1"/>
  <c r="H220" i="1"/>
  <c r="J219" i="1"/>
  <c r="J218" i="1" s="1"/>
  <c r="H219" i="1"/>
  <c r="I218" i="1"/>
  <c r="G218" i="1"/>
  <c r="F218" i="1"/>
  <c r="H217" i="1"/>
  <c r="K217" i="1" s="1"/>
  <c r="H216" i="1"/>
  <c r="K216" i="1" s="1"/>
  <c r="J215" i="1"/>
  <c r="I215" i="1"/>
  <c r="G215" i="1"/>
  <c r="G212" i="1" s="1"/>
  <c r="F215" i="1"/>
  <c r="K214" i="1"/>
  <c r="K213" i="1" s="1"/>
  <c r="H214" i="1"/>
  <c r="J213" i="1"/>
  <c r="I213" i="1"/>
  <c r="H213" i="1"/>
  <c r="G213" i="1"/>
  <c r="F213" i="1"/>
  <c r="H211" i="1"/>
  <c r="J210" i="1"/>
  <c r="I210" i="1"/>
  <c r="I209" i="1" s="1"/>
  <c r="G210" i="1"/>
  <c r="G209" i="1" s="1"/>
  <c r="F210" i="1"/>
  <c r="J209" i="1"/>
  <c r="F209" i="1"/>
  <c r="H208" i="1"/>
  <c r="K208" i="1" s="1"/>
  <c r="H207" i="1"/>
  <c r="J206" i="1"/>
  <c r="I206" i="1"/>
  <c r="G206" i="1"/>
  <c r="F206" i="1"/>
  <c r="H205" i="1"/>
  <c r="K205" i="1" s="1"/>
  <c r="H204" i="1"/>
  <c r="K204" i="1" s="1"/>
  <c r="H203" i="1"/>
  <c r="J202" i="1"/>
  <c r="I202" i="1"/>
  <c r="G202" i="1"/>
  <c r="F202" i="1"/>
  <c r="H201" i="1"/>
  <c r="K201" i="1" s="1"/>
  <c r="H200" i="1"/>
  <c r="K200" i="1" s="1"/>
  <c r="H199" i="1"/>
  <c r="K199" i="1" s="1"/>
  <c r="K198" i="1"/>
  <c r="H198" i="1"/>
  <c r="J197" i="1"/>
  <c r="I197" i="1"/>
  <c r="G197" i="1"/>
  <c r="F197" i="1"/>
  <c r="J196" i="1"/>
  <c r="H196" i="1"/>
  <c r="J195" i="1"/>
  <c r="I195" i="1"/>
  <c r="G195" i="1"/>
  <c r="F195" i="1"/>
  <c r="H194" i="1"/>
  <c r="J193" i="1"/>
  <c r="I193" i="1"/>
  <c r="G193" i="1"/>
  <c r="F193" i="1"/>
  <c r="H192" i="1"/>
  <c r="J191" i="1"/>
  <c r="I191" i="1"/>
  <c r="G191" i="1"/>
  <c r="F191" i="1"/>
  <c r="H190" i="1"/>
  <c r="J189" i="1"/>
  <c r="I189" i="1"/>
  <c r="I186" i="1" s="1"/>
  <c r="G189" i="1"/>
  <c r="F189" i="1"/>
  <c r="J188" i="1"/>
  <c r="J187" i="1" s="1"/>
  <c r="H188" i="1"/>
  <c r="K188" i="1" s="1"/>
  <c r="K187" i="1" s="1"/>
  <c r="I187" i="1"/>
  <c r="G187" i="1"/>
  <c r="F187" i="1"/>
  <c r="H185" i="1"/>
  <c r="J184" i="1"/>
  <c r="I184" i="1"/>
  <c r="G184" i="1"/>
  <c r="F184" i="1"/>
  <c r="H183" i="1"/>
  <c r="J182" i="1"/>
  <c r="I182" i="1"/>
  <c r="I176" i="1" s="1"/>
  <c r="G182" i="1"/>
  <c r="F182" i="1"/>
  <c r="H181" i="1"/>
  <c r="J180" i="1"/>
  <c r="J176" i="1" s="1"/>
  <c r="I180" i="1"/>
  <c r="G180" i="1"/>
  <c r="H179" i="1"/>
  <c r="H178" i="1"/>
  <c r="K178" i="1" s="1"/>
  <c r="J177" i="1"/>
  <c r="I177" i="1"/>
  <c r="G177" i="1"/>
  <c r="F177" i="1"/>
  <c r="F176" i="1" s="1"/>
  <c r="F175" i="1"/>
  <c r="J174" i="1"/>
  <c r="I174" i="1"/>
  <c r="G174" i="1"/>
  <c r="H173" i="1"/>
  <c r="H172" i="1"/>
  <c r="H171" i="1"/>
  <c r="K171" i="1" s="1"/>
  <c r="J170" i="1"/>
  <c r="I170" i="1"/>
  <c r="G170" i="1"/>
  <c r="F170" i="1"/>
  <c r="H169" i="1"/>
  <c r="H168" i="1" s="1"/>
  <c r="J168" i="1"/>
  <c r="J163" i="1" s="1"/>
  <c r="I168" i="1"/>
  <c r="G168" i="1"/>
  <c r="F168" i="1"/>
  <c r="H167" i="1"/>
  <c r="K167" i="1" s="1"/>
  <c r="K166" i="1" s="1"/>
  <c r="J166" i="1"/>
  <c r="I166" i="1"/>
  <c r="G166" i="1"/>
  <c r="F166" i="1"/>
  <c r="K165" i="1"/>
  <c r="H165" i="1"/>
  <c r="H164" i="1" s="1"/>
  <c r="K164" i="1"/>
  <c r="J164" i="1"/>
  <c r="I164" i="1"/>
  <c r="G164" i="1"/>
  <c r="F164" i="1"/>
  <c r="K162" i="1"/>
  <c r="H162" i="1"/>
  <c r="K161" i="1"/>
  <c r="J161" i="1"/>
  <c r="I161" i="1"/>
  <c r="H161" i="1"/>
  <c r="G161" i="1"/>
  <c r="F161" i="1"/>
  <c r="K160" i="1"/>
  <c r="K159" i="1" s="1"/>
  <c r="H160" i="1"/>
  <c r="J159" i="1"/>
  <c r="J154" i="1" s="1"/>
  <c r="I159" i="1"/>
  <c r="H159" i="1"/>
  <c r="G159" i="1"/>
  <c r="F159" i="1"/>
  <c r="F158" i="1"/>
  <c r="J157" i="1"/>
  <c r="I157" i="1"/>
  <c r="G157" i="1"/>
  <c r="J156" i="1"/>
  <c r="J155" i="1" s="1"/>
  <c r="F156" i="1"/>
  <c r="I155" i="1"/>
  <c r="G155" i="1"/>
  <c r="K153" i="1"/>
  <c r="K152" i="1" s="1"/>
  <c r="H153" i="1"/>
  <c r="J152" i="1"/>
  <c r="I152" i="1"/>
  <c r="H152" i="1"/>
  <c r="G152" i="1"/>
  <c r="F152" i="1"/>
  <c r="H151" i="1"/>
  <c r="K151" i="1" s="1"/>
  <c r="K150" i="1" s="1"/>
  <c r="J150" i="1"/>
  <c r="I150" i="1"/>
  <c r="H150" i="1"/>
  <c r="G150" i="1"/>
  <c r="F150" i="1"/>
  <c r="H149" i="1"/>
  <c r="K149" i="1" s="1"/>
  <c r="K148" i="1" s="1"/>
  <c r="J148" i="1"/>
  <c r="I148" i="1"/>
  <c r="H148" i="1"/>
  <c r="G148" i="1"/>
  <c r="H147" i="1"/>
  <c r="H146" i="1" s="1"/>
  <c r="J146" i="1"/>
  <c r="I146" i="1"/>
  <c r="G146" i="1"/>
  <c r="F146" i="1"/>
  <c r="H145" i="1"/>
  <c r="K145" i="1" s="1"/>
  <c r="K144" i="1" s="1"/>
  <c r="F145" i="1"/>
  <c r="J144" i="1"/>
  <c r="I144" i="1"/>
  <c r="G144" i="1"/>
  <c r="F144" i="1"/>
  <c r="F143" i="1"/>
  <c r="J142" i="1"/>
  <c r="I142" i="1"/>
  <c r="G142" i="1"/>
  <c r="F141" i="1"/>
  <c r="F140" i="1" s="1"/>
  <c r="J140" i="1"/>
  <c r="J139" i="1" s="1"/>
  <c r="I140" i="1"/>
  <c r="G140" i="1"/>
  <c r="I139" i="1"/>
  <c r="G139" i="1"/>
  <c r="H136" i="1"/>
  <c r="K136" i="1" s="1"/>
  <c r="H135" i="1"/>
  <c r="K135" i="1" s="1"/>
  <c r="K134" i="1" s="1"/>
  <c r="J134" i="1"/>
  <c r="I134" i="1"/>
  <c r="G134" i="1"/>
  <c r="F134" i="1"/>
  <c r="J133" i="1"/>
  <c r="H133" i="1"/>
  <c r="K133" i="1" s="1"/>
  <c r="K132" i="1" s="1"/>
  <c r="J132" i="1"/>
  <c r="I132" i="1"/>
  <c r="G132" i="1"/>
  <c r="F132" i="1"/>
  <c r="H131" i="1"/>
  <c r="K131" i="1" s="1"/>
  <c r="K130" i="1" s="1"/>
  <c r="J130" i="1"/>
  <c r="I130" i="1"/>
  <c r="G130" i="1"/>
  <c r="F130" i="1"/>
  <c r="H129" i="1"/>
  <c r="H128" i="1"/>
  <c r="J127" i="1"/>
  <c r="I127" i="1"/>
  <c r="H127" i="1"/>
  <c r="G127" i="1"/>
  <c r="F127" i="1"/>
  <c r="J126" i="1"/>
  <c r="H126" i="1"/>
  <c r="J125" i="1"/>
  <c r="I125" i="1"/>
  <c r="G125" i="1"/>
  <c r="F125" i="1"/>
  <c r="H124" i="1"/>
  <c r="H123" i="1" s="1"/>
  <c r="J123" i="1"/>
  <c r="J122" i="1" s="1"/>
  <c r="I123" i="1"/>
  <c r="G123" i="1"/>
  <c r="G122" i="1" s="1"/>
  <c r="F123" i="1"/>
  <c r="F122" i="1" s="1"/>
  <c r="I122" i="1"/>
  <c r="K121" i="1"/>
  <c r="K120" i="1" s="1"/>
  <c r="H121" i="1"/>
  <c r="J120" i="1"/>
  <c r="I120" i="1"/>
  <c r="H120" i="1"/>
  <c r="G120" i="1"/>
  <c r="H119" i="1"/>
  <c r="K119" i="1" s="1"/>
  <c r="H118" i="1"/>
  <c r="K118" i="1" s="1"/>
  <c r="K117" i="1" s="1"/>
  <c r="J117" i="1"/>
  <c r="J116" i="1" s="1"/>
  <c r="I117" i="1"/>
  <c r="H117" i="1"/>
  <c r="G117" i="1"/>
  <c r="G116" i="1" s="1"/>
  <c r="F117" i="1"/>
  <c r="I116" i="1"/>
  <c r="F116" i="1"/>
  <c r="J115" i="1"/>
  <c r="H115" i="1"/>
  <c r="K115" i="1" s="1"/>
  <c r="F114" i="1"/>
  <c r="J113" i="1"/>
  <c r="J112" i="1" s="1"/>
  <c r="I113" i="1"/>
  <c r="G113" i="1"/>
  <c r="G112" i="1" s="1"/>
  <c r="F113" i="1"/>
  <c r="F112" i="1" s="1"/>
  <c r="I112" i="1"/>
  <c r="J111" i="1"/>
  <c r="H111" i="1"/>
  <c r="K111" i="1" s="1"/>
  <c r="K110" i="1" s="1"/>
  <c r="J110" i="1"/>
  <c r="I110" i="1"/>
  <c r="H110" i="1"/>
  <c r="G110" i="1"/>
  <c r="F110" i="1"/>
  <c r="H109" i="1"/>
  <c r="J108" i="1"/>
  <c r="I108" i="1"/>
  <c r="H108" i="1"/>
  <c r="G108" i="1"/>
  <c r="F108" i="1"/>
  <c r="H107" i="1"/>
  <c r="K107" i="1" s="1"/>
  <c r="K106" i="1" s="1"/>
  <c r="J106" i="1"/>
  <c r="I106" i="1"/>
  <c r="I105" i="1" s="1"/>
  <c r="G106" i="1"/>
  <c r="F106" i="1"/>
  <c r="J105" i="1"/>
  <c r="G105" i="1"/>
  <c r="H104" i="1"/>
  <c r="K104" i="1" s="1"/>
  <c r="K103" i="1"/>
  <c r="J103" i="1"/>
  <c r="I103" i="1"/>
  <c r="H103" i="1"/>
  <c r="G103" i="1"/>
  <c r="F103" i="1"/>
  <c r="K102" i="1"/>
  <c r="K101" i="1" s="1"/>
  <c r="H102" i="1"/>
  <c r="H101" i="1" s="1"/>
  <c r="J101" i="1"/>
  <c r="I101" i="1"/>
  <c r="G101" i="1"/>
  <c r="F101" i="1"/>
  <c r="H100" i="1"/>
  <c r="K100" i="1" s="1"/>
  <c r="K99" i="1" s="1"/>
  <c r="J99" i="1"/>
  <c r="I99" i="1"/>
  <c r="G99" i="1"/>
  <c r="F99" i="1"/>
  <c r="J98" i="1"/>
  <c r="H98" i="1"/>
  <c r="K98" i="1" s="1"/>
  <c r="K97" i="1" s="1"/>
  <c r="J97" i="1"/>
  <c r="I97" i="1"/>
  <c r="H97" i="1"/>
  <c r="G97" i="1"/>
  <c r="F97" i="1"/>
  <c r="H96" i="1"/>
  <c r="J95" i="1"/>
  <c r="I95" i="1"/>
  <c r="H95" i="1"/>
  <c r="G95" i="1"/>
  <c r="H94" i="1"/>
  <c r="H93" i="1" s="1"/>
  <c r="J93" i="1"/>
  <c r="I93" i="1"/>
  <c r="I88" i="1" s="1"/>
  <c r="G93" i="1"/>
  <c r="K92" i="1"/>
  <c r="K91" i="1" s="1"/>
  <c r="H92" i="1"/>
  <c r="J91" i="1"/>
  <c r="I91" i="1"/>
  <c r="H91" i="1"/>
  <c r="G91" i="1"/>
  <c r="H90" i="1"/>
  <c r="K90" i="1" s="1"/>
  <c r="K89" i="1" s="1"/>
  <c r="J89" i="1"/>
  <c r="I89" i="1"/>
  <c r="H89" i="1"/>
  <c r="G89" i="1"/>
  <c r="J88" i="1"/>
  <c r="F88" i="1"/>
  <c r="H87" i="1"/>
  <c r="K87" i="1" s="1"/>
  <c r="K86" i="1" s="1"/>
  <c r="J86" i="1"/>
  <c r="I86" i="1"/>
  <c r="I81" i="1" s="1"/>
  <c r="G86" i="1"/>
  <c r="F86" i="1"/>
  <c r="H85" i="1"/>
  <c r="H84" i="1"/>
  <c r="K84" i="1" s="1"/>
  <c r="K83" i="1"/>
  <c r="H83" i="1"/>
  <c r="J82" i="1"/>
  <c r="J81" i="1" s="1"/>
  <c r="I82" i="1"/>
  <c r="H82" i="1"/>
  <c r="G82" i="1"/>
  <c r="F82" i="1"/>
  <c r="F81" i="1" s="1"/>
  <c r="H80" i="1"/>
  <c r="K80" i="1" s="1"/>
  <c r="K79" i="1" s="1"/>
  <c r="J79" i="1"/>
  <c r="I79" i="1"/>
  <c r="G79" i="1"/>
  <c r="F79" i="1"/>
  <c r="J78" i="1"/>
  <c r="H78" i="1"/>
  <c r="K78" i="1" s="1"/>
  <c r="K77" i="1" s="1"/>
  <c r="J77" i="1"/>
  <c r="I77" i="1"/>
  <c r="H77" i="1"/>
  <c r="G77" i="1"/>
  <c r="F77" i="1"/>
  <c r="H76" i="1"/>
  <c r="K76" i="1" s="1"/>
  <c r="K75" i="1" s="1"/>
  <c r="J75" i="1"/>
  <c r="I75" i="1"/>
  <c r="H75" i="1"/>
  <c r="G75" i="1"/>
  <c r="F75" i="1"/>
  <c r="H74" i="1"/>
  <c r="K74" i="1" s="1"/>
  <c r="K73" i="1" s="1"/>
  <c r="J73" i="1"/>
  <c r="I73" i="1"/>
  <c r="I67" i="1" s="1"/>
  <c r="G73" i="1"/>
  <c r="F73" i="1"/>
  <c r="J72" i="1"/>
  <c r="J71" i="1" s="1"/>
  <c r="H72" i="1"/>
  <c r="I71" i="1"/>
  <c r="G71" i="1"/>
  <c r="F71" i="1"/>
  <c r="J70" i="1"/>
  <c r="H70" i="1"/>
  <c r="K70" i="1" s="1"/>
  <c r="J69" i="1"/>
  <c r="J68" i="1" s="1"/>
  <c r="F69" i="1"/>
  <c r="H69" i="1" s="1"/>
  <c r="I68" i="1"/>
  <c r="G68" i="1"/>
  <c r="G67" i="1" s="1"/>
  <c r="F68" i="1"/>
  <c r="H64" i="1"/>
  <c r="K64" i="1" s="1"/>
  <c r="K63" i="1" s="1"/>
  <c r="K62" i="1" s="1"/>
  <c r="J63" i="1"/>
  <c r="I63" i="1"/>
  <c r="I62" i="1" s="1"/>
  <c r="G63" i="1"/>
  <c r="G62" i="1" s="1"/>
  <c r="F63" i="1"/>
  <c r="J62" i="1"/>
  <c r="F62" i="1"/>
  <c r="H61" i="1"/>
  <c r="K61" i="1" s="1"/>
  <c r="J60" i="1"/>
  <c r="H60" i="1"/>
  <c r="K60" i="1" s="1"/>
  <c r="H59" i="1"/>
  <c r="K59" i="1" s="1"/>
  <c r="J58" i="1"/>
  <c r="I58" i="1"/>
  <c r="G58" i="1"/>
  <c r="F58" i="1"/>
  <c r="H57" i="1"/>
  <c r="K57" i="1" s="1"/>
  <c r="K56" i="1" s="1"/>
  <c r="J56" i="1"/>
  <c r="I56" i="1"/>
  <c r="G56" i="1"/>
  <c r="H55" i="1"/>
  <c r="H54" i="1"/>
  <c r="H53" i="1"/>
  <c r="K53" i="1" s="1"/>
  <c r="K52" i="1"/>
  <c r="H52" i="1"/>
  <c r="H51" i="1"/>
  <c r="H50" i="1"/>
  <c r="H49" i="1"/>
  <c r="K49" i="1" s="1"/>
  <c r="J48" i="1"/>
  <c r="I48" i="1"/>
  <c r="G48" i="1"/>
  <c r="F48" i="1"/>
  <c r="H47" i="1"/>
  <c r="J46" i="1"/>
  <c r="I46" i="1"/>
  <c r="I43" i="1" s="1"/>
  <c r="G46" i="1"/>
  <c r="F46" i="1"/>
  <c r="H45" i="1"/>
  <c r="K45" i="1" s="1"/>
  <c r="K44" i="1" s="1"/>
  <c r="J44" i="1"/>
  <c r="I44" i="1"/>
  <c r="H44" i="1"/>
  <c r="G44" i="1"/>
  <c r="J43" i="1"/>
  <c r="F43" i="1"/>
  <c r="H42" i="1"/>
  <c r="K42" i="1" s="1"/>
  <c r="K41" i="1"/>
  <c r="H41" i="1"/>
  <c r="H40" i="1"/>
  <c r="K40" i="1" s="1"/>
  <c r="H39" i="1"/>
  <c r="K39" i="1" s="1"/>
  <c r="J38" i="1"/>
  <c r="I38" i="1"/>
  <c r="H38" i="1"/>
  <c r="G38" i="1"/>
  <c r="F38" i="1"/>
  <c r="J37" i="1"/>
  <c r="I37" i="1"/>
  <c r="H37" i="1"/>
  <c r="K37" i="1" s="1"/>
  <c r="I36" i="1"/>
  <c r="J36" i="1" s="1"/>
  <c r="H36" i="1"/>
  <c r="G35" i="1"/>
  <c r="G34" i="1" s="1"/>
  <c r="F35" i="1"/>
  <c r="K33" i="1"/>
  <c r="J33" i="1"/>
  <c r="J32" i="1" s="1"/>
  <c r="H33" i="1"/>
  <c r="K32" i="1"/>
  <c r="I32" i="1"/>
  <c r="H32" i="1"/>
  <c r="G32" i="1"/>
  <c r="F32" i="1"/>
  <c r="H31" i="1"/>
  <c r="H30" i="1" s="1"/>
  <c r="J30" i="1"/>
  <c r="I30" i="1"/>
  <c r="G30" i="1"/>
  <c r="F30" i="1"/>
  <c r="J29" i="1"/>
  <c r="H29" i="1"/>
  <c r="K29" i="1" s="1"/>
  <c r="J28" i="1"/>
  <c r="J27" i="1" s="1"/>
  <c r="H28" i="1"/>
  <c r="K28" i="1" s="1"/>
  <c r="I27" i="1"/>
  <c r="G27" i="1"/>
  <c r="F27" i="1"/>
  <c r="K26" i="1"/>
  <c r="H26" i="1"/>
  <c r="H25" i="1"/>
  <c r="K25" i="1" s="1"/>
  <c r="K24" i="1" s="1"/>
  <c r="J24" i="1"/>
  <c r="I24" i="1"/>
  <c r="G24" i="1"/>
  <c r="F24" i="1"/>
  <c r="H22" i="1"/>
  <c r="K22" i="1" s="1"/>
  <c r="K21" i="1" s="1"/>
  <c r="J21" i="1"/>
  <c r="I21" i="1"/>
  <c r="G21" i="1"/>
  <c r="H20" i="1"/>
  <c r="K20" i="1" s="1"/>
  <c r="K19" i="1" s="1"/>
  <c r="J19" i="1"/>
  <c r="J18" i="1" s="1"/>
  <c r="I19" i="1"/>
  <c r="H19" i="1"/>
  <c r="G19" i="1"/>
  <c r="G18" i="1" s="1"/>
  <c r="F19" i="1"/>
  <c r="F18" i="1" s="1"/>
  <c r="J17" i="1"/>
  <c r="J16" i="1" s="1"/>
  <c r="J13" i="1" s="1"/>
  <c r="H17" i="1"/>
  <c r="I16" i="1"/>
  <c r="G16" i="1"/>
  <c r="F16" i="1"/>
  <c r="H15" i="1"/>
  <c r="K15" i="1" s="1"/>
  <c r="K14" i="1" s="1"/>
  <c r="J14" i="1"/>
  <c r="I14" i="1"/>
  <c r="I13" i="1" s="1"/>
  <c r="H14" i="1"/>
  <c r="G14" i="1"/>
  <c r="F14" i="1"/>
  <c r="F13" i="1"/>
  <c r="J67" i="1" l="1"/>
  <c r="J66" i="1" s="1"/>
  <c r="K58" i="1"/>
  <c r="I66" i="1"/>
  <c r="I163" i="1"/>
  <c r="H187" i="1"/>
  <c r="G245" i="1"/>
  <c r="H249" i="1"/>
  <c r="K18" i="1"/>
  <c r="G23" i="1"/>
  <c r="H27" i="1"/>
  <c r="J35" i="1"/>
  <c r="J34" i="1" s="1"/>
  <c r="H58" i="1"/>
  <c r="F67" i="1"/>
  <c r="H73" i="1"/>
  <c r="G81" i="1"/>
  <c r="G66" i="1" s="1"/>
  <c r="H106" i="1"/>
  <c r="H141" i="1"/>
  <c r="K141" i="1" s="1"/>
  <c r="K140" i="1" s="1"/>
  <c r="G186" i="1"/>
  <c r="H239" i="1"/>
  <c r="H238" i="1" s="1"/>
  <c r="H256" i="1"/>
  <c r="H81" i="1"/>
  <c r="K116" i="1"/>
  <c r="G154" i="1"/>
  <c r="J212" i="1"/>
  <c r="J138" i="1" s="1"/>
  <c r="K267" i="1"/>
  <c r="I23" i="1"/>
  <c r="G13" i="1"/>
  <c r="G12" i="1" s="1"/>
  <c r="I18" i="1"/>
  <c r="H21" i="1"/>
  <c r="H18" i="1" s="1"/>
  <c r="J23" i="1"/>
  <c r="J12" i="1" s="1"/>
  <c r="J10" i="1" s="1"/>
  <c r="K38" i="1"/>
  <c r="G43" i="1"/>
  <c r="H48" i="1"/>
  <c r="H56" i="1"/>
  <c r="H63" i="1"/>
  <c r="H62" i="1" s="1"/>
  <c r="H79" i="1"/>
  <c r="H86" i="1"/>
  <c r="G88" i="1"/>
  <c r="F105" i="1"/>
  <c r="F66" i="1" s="1"/>
  <c r="H134" i="1"/>
  <c r="K147" i="1"/>
  <c r="K146" i="1" s="1"/>
  <c r="H166" i="1"/>
  <c r="G176" i="1"/>
  <c r="J186" i="1"/>
  <c r="H215" i="1"/>
  <c r="I212" i="1"/>
  <c r="J237" i="1"/>
  <c r="J255" i="1"/>
  <c r="H274" i="1"/>
  <c r="H284" i="1"/>
  <c r="H283" i="1" s="1"/>
  <c r="H282" i="1" s="1"/>
  <c r="K27" i="1"/>
  <c r="K69" i="1"/>
  <c r="K68" i="1" s="1"/>
  <c r="K67" i="1" s="1"/>
  <c r="H68" i="1"/>
  <c r="H67" i="1" s="1"/>
  <c r="K31" i="1"/>
  <c r="K30" i="1" s="1"/>
  <c r="K23" i="1" s="1"/>
  <c r="K17" i="1"/>
  <c r="K16" i="1" s="1"/>
  <c r="K13" i="1" s="1"/>
  <c r="F23" i="1"/>
  <c r="F34" i="1"/>
  <c r="K50" i="1"/>
  <c r="K48" i="1" s="1"/>
  <c r="K54" i="1"/>
  <c r="K72" i="1"/>
  <c r="K71" i="1" s="1"/>
  <c r="K85" i="1"/>
  <c r="K82" i="1" s="1"/>
  <c r="K81" i="1" s="1"/>
  <c r="H16" i="1"/>
  <c r="H13" i="1" s="1"/>
  <c r="H24" i="1"/>
  <c r="H23" i="1" s="1"/>
  <c r="H35" i="1"/>
  <c r="H34" i="1" s="1"/>
  <c r="K36" i="1"/>
  <c r="K35" i="1" s="1"/>
  <c r="H46" i="1"/>
  <c r="H71" i="1"/>
  <c r="K94" i="1"/>
  <c r="K93" i="1" s="1"/>
  <c r="K96" i="1"/>
  <c r="K95" i="1" s="1"/>
  <c r="K109" i="1"/>
  <c r="K108" i="1" s="1"/>
  <c r="K105" i="1" s="1"/>
  <c r="H114" i="1"/>
  <c r="H116" i="1"/>
  <c r="K129" i="1"/>
  <c r="H130" i="1"/>
  <c r="H132" i="1"/>
  <c r="H144" i="1"/>
  <c r="I154" i="1"/>
  <c r="I138" i="1" s="1"/>
  <c r="G163" i="1"/>
  <c r="G138" i="1" s="1"/>
  <c r="K173" i="1"/>
  <c r="H184" i="1"/>
  <c r="K185" i="1"/>
  <c r="K184" i="1" s="1"/>
  <c r="H195" i="1"/>
  <c r="K196" i="1"/>
  <c r="K195" i="1" s="1"/>
  <c r="F212" i="1"/>
  <c r="I35" i="1"/>
  <c r="I34" i="1" s="1"/>
  <c r="I12" i="1" s="1"/>
  <c r="I10" i="1" s="1"/>
  <c r="H105" i="1"/>
  <c r="K126" i="1"/>
  <c r="K125" i="1" s="1"/>
  <c r="H158" i="1"/>
  <c r="F157" i="1"/>
  <c r="K47" i="1"/>
  <c r="K46" i="1" s="1"/>
  <c r="K43" i="1" s="1"/>
  <c r="K51" i="1"/>
  <c r="K55" i="1"/>
  <c r="H99" i="1"/>
  <c r="K124" i="1"/>
  <c r="K123" i="1" s="1"/>
  <c r="K122" i="1" s="1"/>
  <c r="H125" i="1"/>
  <c r="K128" i="1"/>
  <c r="K127" i="1" s="1"/>
  <c r="K169" i="1"/>
  <c r="K168" i="1" s="1"/>
  <c r="H170" i="1"/>
  <c r="K172" i="1"/>
  <c r="H143" i="1"/>
  <c r="F142" i="1"/>
  <c r="H156" i="1"/>
  <c r="F155" i="1"/>
  <c r="H175" i="1"/>
  <c r="F174" i="1"/>
  <c r="K179" i="1"/>
  <c r="K177" i="1" s="1"/>
  <c r="H177" i="1"/>
  <c r="K183" i="1"/>
  <c r="K182" i="1" s="1"/>
  <c r="H182" i="1"/>
  <c r="F186" i="1"/>
  <c r="H193" i="1"/>
  <c r="K194" i="1"/>
  <c r="K193" i="1" s="1"/>
  <c r="H197" i="1"/>
  <c r="H202" i="1"/>
  <c r="K203" i="1"/>
  <c r="K202" i="1" s="1"/>
  <c r="H210" i="1"/>
  <c r="H209" i="1" s="1"/>
  <c r="K211" i="1"/>
  <c r="K210" i="1" s="1"/>
  <c r="K209" i="1" s="1"/>
  <c r="H218" i="1"/>
  <c r="K219" i="1"/>
  <c r="J245" i="1"/>
  <c r="H278" i="1"/>
  <c r="F282" i="1"/>
  <c r="H180" i="1"/>
  <c r="K181" i="1"/>
  <c r="K180" i="1" s="1"/>
  <c r="K192" i="1"/>
  <c r="K191" i="1" s="1"/>
  <c r="H191" i="1"/>
  <c r="K197" i="1"/>
  <c r="H206" i="1"/>
  <c r="K207" i="1"/>
  <c r="K206" i="1" s="1"/>
  <c r="K215" i="1"/>
  <c r="K228" i="1"/>
  <c r="K227" i="1" s="1"/>
  <c r="K237" i="1"/>
  <c r="H267" i="1"/>
  <c r="H189" i="1"/>
  <c r="K190" i="1"/>
  <c r="K189" i="1" s="1"/>
  <c r="K220" i="1"/>
  <c r="K224" i="1"/>
  <c r="H246" i="1"/>
  <c r="F227" i="1"/>
  <c r="H221" i="1"/>
  <c r="H234" i="1"/>
  <c r="H231" i="1" s="1"/>
  <c r="F238" i="1"/>
  <c r="H242" i="1"/>
  <c r="F246" i="1"/>
  <c r="K250" i="1"/>
  <c r="K249" i="1" s="1"/>
  <c r="K254" i="1"/>
  <c r="K253" i="1" s="1"/>
  <c r="K246" i="1" s="1"/>
  <c r="K245" i="1" s="1"/>
  <c r="H258" i="1"/>
  <c r="H255" i="1" s="1"/>
  <c r="F260" i="1"/>
  <c r="H265" i="1"/>
  <c r="F267" i="1"/>
  <c r="H272" i="1"/>
  <c r="K280" i="1"/>
  <c r="K279" i="1" s="1"/>
  <c r="K278" i="1" s="1"/>
  <c r="K277" i="1" s="1"/>
  <c r="K34" i="1" l="1"/>
  <c r="H186" i="1"/>
  <c r="K170" i="1"/>
  <c r="H140" i="1"/>
  <c r="K88" i="1"/>
  <c r="K66" i="1" s="1"/>
  <c r="G10" i="1"/>
  <c r="H241" i="1"/>
  <c r="K186" i="1"/>
  <c r="H212" i="1"/>
  <c r="H176" i="1"/>
  <c r="K175" i="1"/>
  <c r="K174" i="1" s="1"/>
  <c r="K163" i="1" s="1"/>
  <c r="H174" i="1"/>
  <c r="H163" i="1" s="1"/>
  <c r="F139" i="1"/>
  <c r="H43" i="1"/>
  <c r="H122" i="1"/>
  <c r="F237" i="1"/>
  <c r="H277" i="1"/>
  <c r="K218" i="1"/>
  <c r="K176" i="1"/>
  <c r="H142" i="1"/>
  <c r="K143" i="1"/>
  <c r="K142" i="1" s="1"/>
  <c r="K139" i="1" s="1"/>
  <c r="H88" i="1"/>
  <c r="K158" i="1"/>
  <c r="K157" i="1" s="1"/>
  <c r="H157" i="1"/>
  <c r="K114" i="1"/>
  <c r="K113" i="1" s="1"/>
  <c r="K112" i="1" s="1"/>
  <c r="H113" i="1"/>
  <c r="H264" i="1"/>
  <c r="H245" i="1" s="1"/>
  <c r="F154" i="1"/>
  <c r="F245" i="1"/>
  <c r="K212" i="1"/>
  <c r="H155" i="1"/>
  <c r="K156" i="1"/>
  <c r="K155" i="1" s="1"/>
  <c r="F163" i="1"/>
  <c r="F12" i="1"/>
  <c r="K12" i="1"/>
  <c r="H112" i="1" l="1"/>
  <c r="K154" i="1"/>
  <c r="H237" i="1"/>
  <c r="H154" i="1"/>
  <c r="H139" i="1"/>
  <c r="K138" i="1"/>
  <c r="K10" i="1" s="1"/>
  <c r="F138" i="1"/>
  <c r="F10" i="1" s="1"/>
  <c r="H12" i="1"/>
  <c r="H66" i="1" l="1"/>
  <c r="H138" i="1"/>
  <c r="H10" i="1"/>
</calcChain>
</file>

<file path=xl/sharedStrings.xml><?xml version="1.0" encoding="utf-8"?>
<sst xmlns="http://schemas.openxmlformats.org/spreadsheetml/2006/main" count="286" uniqueCount="238">
  <si>
    <t>Poder Judicial del Estado de Baja California</t>
  </si>
  <si>
    <t>Estado Analítico del Ejercicio del Presupuesto de Egresos</t>
  </si>
  <si>
    <t>Clasificación por Objeto del Gasto (Partida Específica)</t>
  </si>
  <si>
    <t>Del 1 de enero al 31 de marzo de 2019</t>
  </si>
  <si>
    <t>CAPITULO</t>
  </si>
  <si>
    <t>CONCEPTO</t>
  </si>
  <si>
    <t>PARTIDA</t>
  </si>
  <si>
    <t>Egresos</t>
  </si>
  <si>
    <t>Subejercicio</t>
  </si>
  <si>
    <t>GENERICA</t>
  </si>
  <si>
    <t>ESPECIFICA</t>
  </si>
  <si>
    <t>Descripción</t>
  </si>
  <si>
    <t>Aprobado</t>
  </si>
  <si>
    <t>Ampliaciones/ (Reducciones)</t>
  </si>
  <si>
    <t>Modificado</t>
  </si>
  <si>
    <t>Devengado</t>
  </si>
  <si>
    <t>Pagado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</si>
  <si>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</si>
  <si>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</si>
  <si>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</si>
  <si>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</si>
  <si>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</si>
  <si>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</si>
  <si>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Sueldo tabular personal permanente</t>
  </si>
  <si>
    <t>Remuneraciones al personal de carácter transitorio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</si>
  <si>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</si>
  <si>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</si>
  <si>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</si>
  <si>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</si>
  <si>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</si>
  <si>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</si>
  <si>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por años de servicio efectivos prestados</t>
  </si>
  <si>
    <t>Prima de antigüedad</t>
  </si>
  <si>
    <t>Primas de vacaciones, dominical y gratificación de fin de año</t>
  </si>
  <si>
    <t>Prima vacacional</t>
  </si>
  <si>
    <t>Gratificación de fin de año</t>
  </si>
  <si>
    <t>Horas extraordinarias</t>
  </si>
  <si>
    <t>Tiempo extraordinario</t>
  </si>
  <si>
    <t>Compensaciones</t>
  </si>
  <si>
    <t>Seguridad social</t>
  </si>
  <si>
    <t>Aportaciones de seguridad social</t>
  </si>
  <si>
    <t>Aportaciones patronales de servicio médico</t>
  </si>
  <si>
    <t>Aportaciones patronales de fondo de pensiones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</si>
  <si>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</si>
  <si>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</si>
  <si>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</si>
  <si>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</si>
  <si>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</si>
  <si>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Otras prestaciones sociales y económicas</t>
  </si>
  <si>
    <t>Indemnizaciones</t>
  </si>
  <si>
    <t>Prestaciones y haberes de retiro</t>
  </si>
  <si>
    <t>Pensiones y jubilaciones por convenio otros</t>
  </si>
  <si>
    <t>Prestaciones contractuales</t>
  </si>
  <si>
    <t>Canasta básica</t>
  </si>
  <si>
    <t>Bono de transporte</t>
  </si>
  <si>
    <t>Previsión social múltiple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</si>
  <si>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</si>
  <si>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</si>
  <si>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</si>
  <si>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</si>
  <si>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</si>
  <si>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</si>
  <si>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Otras prestaciones</t>
  </si>
  <si>
    <t>Gastos médicos menores Magistrados, Jueces y Consejeros</t>
  </si>
  <si>
    <t>Servicios Médicos</t>
  </si>
  <si>
    <t>Pago de estímulos a servidores públicos</t>
  </si>
  <si>
    <t>Estímulos</t>
  </si>
  <si>
    <t>Estímulo por productividad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</si>
  <si>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</si>
  <si>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</si>
  <si>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</si>
  <si>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</si>
  <si>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</si>
  <si>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</si>
  <si>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</si>
  <si>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</si>
  <si>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</si>
  <si>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</si>
  <si>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</si>
  <si>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</si>
  <si>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</si>
  <si>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</si>
  <si>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</si>
  <si>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</si>
  <si>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</si>
  <si>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</si>
  <si>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Utensilios para el servicio de alimentación</t>
  </si>
  <si>
    <t>Materiales y artículos de construcción y de reparación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</si>
  <si>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</si>
  <si>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</si>
  <si>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</si>
  <si>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</si>
  <si>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</si>
  <si>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</si>
  <si>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</si>
  <si>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</si>
  <si>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</si>
  <si>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</si>
  <si>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</si>
  <si>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</si>
  <si>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</si>
  <si>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</si>
  <si>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</si>
  <si>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</si>
  <si>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</si>
  <si>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</si>
  <si>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Vestuario, uniformes exclusivos del SEMEFO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</si>
  <si>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</si>
  <si>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</si>
  <si>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</si>
  <si>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</si>
  <si>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</si>
  <si>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</si>
  <si>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</si>
  <si>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</si>
  <si>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</si>
  <si>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</si>
  <si>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</si>
  <si>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</si>
  <si>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Refacciones y accesorios menores de equipos de comunicación y telecomunicación</t>
  </si>
  <si>
    <t>SERVICIOS GENERALES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</si>
  <si>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</si>
  <si>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</si>
  <si>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</si>
  <si>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</si>
  <si>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</si>
  <si>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</si>
  <si>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</si>
  <si>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</si>
  <si>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</si>
  <si>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</si>
  <si>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</si>
  <si>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</si>
  <si>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</si>
  <si>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</si>
  <si>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</si>
  <si>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</si>
  <si>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</si>
  <si>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</si>
  <si>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</si>
  <si>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</si>
  <si>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</si>
  <si>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</si>
  <si>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</si>
  <si>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diseño, arquitectura, ingeniería y actividades relacionadas</t>
  </si>
  <si>
    <t>Servicios y asesorías en materia de ingeniería, arquitectura y diseño</t>
  </si>
  <si>
    <t>Servicios de capacitación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</si>
  <si>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</si>
  <si>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</si>
  <si>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</si>
  <si>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</si>
  <si>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</si>
  <si>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</si>
  <si>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</si>
  <si>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</si>
  <si>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</si>
  <si>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>Avalúos no relacionados con la ejecución de obras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</si>
  <si>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</si>
  <si>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</si>
  <si>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</si>
  <si>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</si>
  <si>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</si>
  <si>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</si>
  <si>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</si>
  <si>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</si>
  <si>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</si>
  <si>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</si>
  <si>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</si>
  <si>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</si>
  <si>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</si>
  <si>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</si>
  <si>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</si>
  <si>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</si>
  <si>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</si>
  <si>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</si>
  <si>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</si>
  <si>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</si>
  <si>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</si>
  <si>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</si>
  <si>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</si>
  <si>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</si>
  <si>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</si>
  <si>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</si>
  <si>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</si>
  <si>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</si>
  <si>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</si>
  <si>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</si>
  <si>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</si>
  <si>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</si>
  <si>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</si>
  <si>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</si>
  <si>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</si>
  <si>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</si>
  <si>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</si>
  <si>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</si>
  <si>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</si>
  <si>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</si>
  <si>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</si>
  <si>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</si>
  <si>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</si>
  <si>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</si>
  <si>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</si>
  <si>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</si>
  <si>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</si>
  <si>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</si>
  <si>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</si>
  <si>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</si>
  <si>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</si>
  <si>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</si>
  <si>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</si>
  <si>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</si>
  <si>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</si>
  <si>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</si>
  <si>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Equipo de computo y de tecnología de la información</t>
  </si>
  <si>
    <t>Adquisición de impresor</t>
  </si>
  <si>
    <t>Equipo de cómputo diverso</t>
  </si>
  <si>
    <t>Otros mobiliarios y equipos de administración</t>
  </si>
  <si>
    <t>Mobiliario y equipo educacional y recreativo</t>
  </si>
  <si>
    <t>Equipos y aparatos audiovisuales</t>
  </si>
  <si>
    <t>Cámaras fotográficas y de video</t>
  </si>
  <si>
    <t>Equipos e instrumental medico y de laboratorio</t>
  </si>
  <si>
    <t>Instrumental médico y de laboratorio</t>
  </si>
  <si>
    <t>Equipo médico y de laboratorio</t>
  </si>
  <si>
    <t>Vehículos y equipo terrestre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</si>
  <si>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</si>
  <si>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</si>
  <si>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</si>
  <si>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</si>
  <si>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</si>
  <si>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Otros equipos</t>
  </si>
  <si>
    <t>INVERSION PÚBLICA</t>
  </si>
  <si>
    <t>Obra pública en bienes propios</t>
  </si>
  <si>
    <t>Trabajos de acabados en edificaciones y otros trabajos especializados</t>
  </si>
  <si>
    <t>Acabados y otros trabajos especializados en bienes propios</t>
  </si>
  <si>
    <t>INVERSIONES FINANCIERAS Y OTRAS PROVISIONES</t>
  </si>
  <si>
    <t>Inversiones en Fideicomisos, Mandatos y Otros análogos</t>
  </si>
  <si>
    <t>Inversiones en Fideicomisos del Poder Judicial</t>
  </si>
  <si>
    <t>Inversiones en Fideicomisos del Poder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</si>
</sst>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[Red]\-0\ "/>
    <numFmt numFmtId="166" formatCode="General_)"/>
    <numFmt numFmtId="167" formatCode="_([$€-2]* #,##0.00_);_([$€-2]* \(#,##0.00\);_([$€-2]* &quot;-&quot;??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2">
    <xf numFmtId="0" fontId="0" fillId="0" borderId="0"/>
    <xf numFmtId="166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>
      <alignment vertical="top"/>
    </xf>
    <xf numFmtId="0" fontId="1" fillId="0" borderId="0"/>
  </cellStyleXfs>
  <cellXfs count="75">
    <xf numFmtId="0" fontId="0" fillId="0" borderId="0" xfId="0"/>
    <xf numFmtId="0" fontId="0" fillId="0" borderId="0" xfId="0" applyFont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/>
    <xf numFmtId="164" fontId="0" fillId="0" borderId="3" xfId="0" applyNumberFormat="1" applyFont="1" applyBorder="1" applyAlignment="1" applyProtection="1">
      <alignment horizontal="center" vertical="top"/>
      <protection locked="0"/>
    </xf>
    <xf numFmtId="164" fontId="0" fillId="0" borderId="4" xfId="0" applyNumberFormat="1" applyFont="1" applyBorder="1" applyAlignment="1" applyProtection="1">
      <alignment horizontal="left" vertical="top"/>
      <protection locked="0"/>
    </xf>
    <xf numFmtId="40" fontId="0" fillId="0" borderId="5" xfId="0" applyNumberFormat="1" applyFont="1" applyBorder="1" applyAlignment="1" applyProtection="1">
      <alignment vertical="top"/>
      <protection locked="0"/>
    </xf>
    <xf numFmtId="0" fontId="0" fillId="0" borderId="0" xfId="0" applyFont="1" applyFill="1" applyAlignment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/>
    <xf numFmtId="0" fontId="3" fillId="3" borderId="8" xfId="0" applyFont="1" applyFill="1" applyBorder="1" applyAlignment="1"/>
    <xf numFmtId="0" fontId="3" fillId="3" borderId="9" xfId="0" applyFont="1" applyFill="1" applyBorder="1" applyAlignment="1">
      <alignment vertical="top"/>
    </xf>
    <xf numFmtId="40" fontId="3" fillId="3" borderId="10" xfId="0" applyNumberFormat="1" applyFont="1" applyFill="1" applyBorder="1" applyAlignment="1" applyProtection="1">
      <alignment vertical="top"/>
    </xf>
    <xf numFmtId="0" fontId="0" fillId="0" borderId="4" xfId="0" applyFont="1" applyFill="1" applyBorder="1" applyAlignment="1"/>
    <xf numFmtId="0" fontId="0" fillId="0" borderId="11" xfId="0" applyFont="1" applyFill="1" applyBorder="1" applyAlignment="1"/>
    <xf numFmtId="164" fontId="0" fillId="0" borderId="11" xfId="0" applyNumberFormat="1" applyFont="1" applyFill="1" applyBorder="1" applyAlignment="1" applyProtection="1">
      <alignment horizontal="center" vertical="top"/>
      <protection locked="0"/>
    </xf>
    <xf numFmtId="164" fontId="0" fillId="0" borderId="11" xfId="0" applyNumberFormat="1" applyFont="1" applyFill="1" applyBorder="1" applyAlignment="1" applyProtection="1">
      <alignment horizontal="left" vertical="top"/>
      <protection locked="0"/>
    </xf>
    <xf numFmtId="40" fontId="0" fillId="0" borderId="5" xfId="0" applyNumberFormat="1" applyFont="1" applyFill="1" applyBorder="1" applyAlignment="1" applyProtection="1">
      <alignment vertical="top"/>
      <protection locked="0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9" xfId="0" applyFont="1" applyFill="1" applyBorder="1" applyAlignment="1">
      <alignment vertical="top"/>
    </xf>
    <xf numFmtId="40" fontId="3" fillId="0" borderId="10" xfId="0" applyNumberFormat="1" applyFont="1" applyFill="1" applyBorder="1" applyAlignment="1" applyProtection="1">
      <alignment vertical="top"/>
    </xf>
    <xf numFmtId="40" fontId="3" fillId="0" borderId="10" xfId="0" applyNumberFormat="1" applyFont="1" applyFill="1" applyBorder="1" applyAlignment="1" applyProtection="1">
      <alignment vertical="top"/>
      <protection locked="0"/>
    </xf>
    <xf numFmtId="0" fontId="0" fillId="0" borderId="6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left"/>
    </xf>
    <xf numFmtId="0" fontId="3" fillId="4" borderId="7" xfId="0" applyFont="1" applyFill="1" applyBorder="1" applyAlignment="1"/>
    <xf numFmtId="0" fontId="3" fillId="4" borderId="8" xfId="0" applyFont="1" applyFill="1" applyBorder="1" applyAlignment="1"/>
    <xf numFmtId="0" fontId="3" fillId="4" borderId="9" xfId="0" applyFont="1" applyFill="1" applyBorder="1" applyAlignment="1">
      <alignment vertical="top"/>
    </xf>
    <xf numFmtId="40" fontId="3" fillId="4" borderId="10" xfId="0" applyNumberFormat="1" applyFont="1" applyFill="1" applyBorder="1" applyAlignment="1" applyProtection="1">
      <alignment vertical="top"/>
      <protection locked="0"/>
    </xf>
    <xf numFmtId="0" fontId="0" fillId="0" borderId="12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left"/>
    </xf>
    <xf numFmtId="0" fontId="0" fillId="3" borderId="7" xfId="0" applyFont="1" applyFill="1" applyBorder="1" applyAlignment="1"/>
    <xf numFmtId="0" fontId="0" fillId="3" borderId="9" xfId="0" applyFont="1" applyFill="1" applyBorder="1" applyAlignment="1">
      <alignment vertical="top"/>
    </xf>
    <xf numFmtId="40" fontId="0" fillId="3" borderId="10" xfId="0" applyNumberFormat="1" applyFont="1" applyFill="1" applyBorder="1" applyAlignment="1" applyProtection="1">
      <alignment vertical="top"/>
      <protection locked="0"/>
    </xf>
    <xf numFmtId="0" fontId="0" fillId="0" borderId="12" xfId="0" applyFont="1" applyFill="1" applyBorder="1" applyAlignment="1"/>
    <xf numFmtId="164" fontId="0" fillId="0" borderId="12" xfId="0" applyNumberFormat="1" applyFont="1" applyBorder="1" applyAlignment="1" applyProtection="1">
      <alignment horizontal="right" vertical="top"/>
      <protection locked="0"/>
    </xf>
    <xf numFmtId="164" fontId="0" fillId="0" borderId="7" xfId="0" applyNumberFormat="1" applyFont="1" applyBorder="1" applyAlignment="1" applyProtection="1">
      <alignment horizontal="left" vertical="top" wrapText="1"/>
      <protection locked="0"/>
    </xf>
    <xf numFmtId="40" fontId="0" fillId="0" borderId="10" xfId="0" applyNumberFormat="1" applyFont="1" applyFill="1" applyBorder="1" applyAlignment="1" applyProtection="1">
      <alignment vertical="top"/>
      <protection locked="0"/>
    </xf>
    <xf numFmtId="164" fontId="0" fillId="0" borderId="3" xfId="0" applyNumberFormat="1" applyFont="1" applyBorder="1" applyAlignment="1" applyProtection="1">
      <alignment horizontal="right" vertical="top"/>
      <protection locked="0"/>
    </xf>
    <xf numFmtId="164" fontId="0" fillId="0" borderId="4" xfId="0" applyNumberFormat="1" applyFont="1" applyBorder="1" applyAlignment="1" applyProtection="1">
      <alignment horizontal="left" vertical="top" wrapText="1"/>
      <protection locked="0"/>
    </xf>
    <xf numFmtId="40" fontId="0" fillId="0" borderId="10" xfId="0" applyNumberFormat="1" applyFont="1" applyBorder="1" applyAlignment="1" applyProtection="1">
      <alignment vertical="top"/>
      <protection locked="0"/>
    </xf>
    <xf numFmtId="0" fontId="6" fillId="0" borderId="0" xfId="0" applyNumberFormat="1" applyFont="1" applyFill="1" applyBorder="1" applyAlignment="1">
      <alignment vertical="center" wrapText="1" shrinkToFit="1"/>
    </xf>
    <xf numFmtId="49" fontId="6" fillId="0" borderId="0" xfId="0" applyNumberFormat="1" applyFont="1" applyFill="1" applyBorder="1" applyAlignment="1">
      <alignment horizontal="left" vertical="center" wrapText="1" shrinkToFit="1"/>
    </xf>
    <xf numFmtId="0" fontId="0" fillId="0" borderId="7" xfId="0" applyFont="1" applyFill="1" applyBorder="1" applyAlignment="1">
      <alignment horizontal="left"/>
    </xf>
    <xf numFmtId="164" fontId="0" fillId="0" borderId="8" xfId="0" applyNumberFormat="1" applyFont="1" applyBorder="1" applyAlignment="1" applyProtection="1">
      <alignment horizontal="right" vertical="top"/>
      <protection locked="0"/>
    </xf>
    <xf numFmtId="164" fontId="0" fillId="0" borderId="8" xfId="0" applyNumberFormat="1" applyFont="1" applyBorder="1" applyAlignment="1" applyProtection="1">
      <alignment horizontal="left" vertical="top" wrapText="1"/>
      <protection locked="0"/>
    </xf>
    <xf numFmtId="164" fontId="0" fillId="0" borderId="7" xfId="0" applyNumberFormat="1" applyFont="1" applyBorder="1" applyAlignment="1" applyProtection="1">
      <alignment horizontal="right" vertical="top"/>
      <protection locked="0"/>
    </xf>
    <xf numFmtId="0" fontId="0" fillId="0" borderId="7" xfId="0" applyFont="1" applyFill="1" applyBorder="1" applyAlignment="1">
      <alignment horizontal="left" vertical="top" wrapText="1"/>
    </xf>
    <xf numFmtId="164" fontId="0" fillId="0" borderId="7" xfId="0" applyNumberFormat="1" applyFont="1" applyBorder="1" applyAlignment="1" applyProtection="1">
      <alignment vertical="top" wrapText="1"/>
      <protection locked="0"/>
    </xf>
    <xf numFmtId="0" fontId="0" fillId="0" borderId="7" xfId="0" applyFont="1" applyFill="1" applyBorder="1" applyAlignment="1"/>
    <xf numFmtId="0" fontId="0" fillId="0" borderId="8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/>
    <xf numFmtId="0" fontId="0" fillId="0" borderId="14" xfId="0" applyFont="1" applyFill="1" applyBorder="1" applyAlignment="1">
      <alignment horizontal="left"/>
    </xf>
    <xf numFmtId="164" fontId="0" fillId="0" borderId="14" xfId="0" applyNumberFormat="1" applyFont="1" applyBorder="1" applyAlignment="1" applyProtection="1">
      <alignment horizontal="right" vertical="top"/>
      <protection locked="0"/>
    </xf>
    <xf numFmtId="164" fontId="0" fillId="0" borderId="15" xfId="0" applyNumberFormat="1" applyFont="1" applyBorder="1" applyAlignment="1" applyProtection="1">
      <alignment horizontal="left" vertical="top" wrapText="1"/>
      <protection locked="0"/>
    </xf>
    <xf numFmtId="40" fontId="0" fillId="0" borderId="16" xfId="0" applyNumberFormat="1" applyFont="1" applyFill="1" applyBorder="1" applyAlignment="1" applyProtection="1">
      <alignment vertical="top"/>
      <protection locked="0"/>
    </xf>
    <xf numFmtId="40" fontId="3" fillId="0" borderId="16" xfId="0" applyNumberFormat="1" applyFont="1" applyFill="1" applyBorder="1" applyAlignment="1" applyProtection="1">
      <alignment vertical="top"/>
      <protection locked="0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/>
    <xf numFmtId="0" fontId="0" fillId="0" borderId="18" xfId="0" applyFont="1" applyFill="1" applyBorder="1" applyAlignment="1">
      <alignment horizontal="left"/>
    </xf>
    <xf numFmtId="164" fontId="0" fillId="0" borderId="18" xfId="0" applyNumberFormat="1" applyFont="1" applyBorder="1" applyAlignment="1" applyProtection="1">
      <alignment horizontal="right" vertical="top"/>
      <protection locked="0"/>
    </xf>
    <xf numFmtId="164" fontId="0" fillId="0" borderId="19" xfId="0" applyNumberFormat="1" applyFont="1" applyBorder="1" applyAlignment="1" applyProtection="1">
      <alignment horizontal="left" vertical="top"/>
      <protection locked="0"/>
    </xf>
    <xf numFmtId="40" fontId="0" fillId="0" borderId="20" xfId="0" applyNumberFormat="1" applyFont="1" applyBorder="1" applyAlignment="1" applyProtection="1">
      <alignment vertical="top"/>
      <protection locked="0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291</xdr:row>
      <xdr:rowOff>9525</xdr:rowOff>
    </xdr:from>
    <xdr:to>
      <xdr:col>10</xdr:col>
      <xdr:colOff>790575</xdr:colOff>
      <xdr:row>295</xdr:row>
      <xdr:rowOff>142875</xdr:rowOff>
    </xdr:to>
    <xdr:sp macro="" textlink="">
      <xdr:nvSpPr>
        <xdr:cNvPr id="2" name="1 CuadroTexto"/>
        <xdr:cNvSpPr txBox="1"/>
      </xdr:nvSpPr>
      <xdr:spPr>
        <a:xfrm>
          <a:off x="8486775" y="55692675"/>
          <a:ext cx="25908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685799</xdr:colOff>
      <xdr:row>290</xdr:row>
      <xdr:rowOff>161925</xdr:rowOff>
    </xdr:from>
    <xdr:to>
      <xdr:col>6</xdr:col>
      <xdr:colOff>742949</xdr:colOff>
      <xdr:row>296</xdr:row>
      <xdr:rowOff>38100</xdr:rowOff>
    </xdr:to>
    <xdr:sp macro="" textlink="">
      <xdr:nvSpPr>
        <xdr:cNvPr id="3" name="2 CuadroTexto"/>
        <xdr:cNvSpPr txBox="1"/>
      </xdr:nvSpPr>
      <xdr:spPr>
        <a:xfrm>
          <a:off x="3629024" y="55654575"/>
          <a:ext cx="3619500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______________________________________________</a:t>
          </a:r>
        </a:p>
        <a:p>
          <a:pPr algn="ctr"/>
          <a:r>
            <a:rPr lang="es-MX" sz="1100"/>
            <a:t>Mgdo. Salvador Juan Ortiz 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238125</xdr:colOff>
      <xdr:row>290</xdr:row>
      <xdr:rowOff>180975</xdr:rowOff>
    </xdr:from>
    <xdr:to>
      <xdr:col>4</xdr:col>
      <xdr:colOff>66675</xdr:colOff>
      <xdr:row>296</xdr:row>
      <xdr:rowOff>66675</xdr:rowOff>
    </xdr:to>
    <xdr:sp macro="" textlink="">
      <xdr:nvSpPr>
        <xdr:cNvPr id="4" name="3 CuadroTexto"/>
        <xdr:cNvSpPr txBox="1"/>
      </xdr:nvSpPr>
      <xdr:spPr>
        <a:xfrm>
          <a:off x="238125" y="556736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Francisco Javier</a:t>
          </a:r>
          <a:r>
            <a:rPr lang="es-MX" sz="1100" baseline="0">
              <a:latin typeface="+mn-lt"/>
              <a:cs typeface="Arial" pitchFamily="34" charset="0"/>
            </a:rPr>
            <a:t> Mercado Flores</a:t>
          </a:r>
          <a:endParaRPr lang="es-MX" sz="1100">
            <a:latin typeface="+mn-lt"/>
            <a:cs typeface="Arial" pitchFamily="34" charset="0"/>
          </a:endParaRP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S286"/>
  <sheetViews>
    <sheetView tabSelected="1" zoomScaleNormal="100" workbookViewId="0">
      <selection activeCell="L15" sqref="L15"/>
    </sheetView>
  </sheetViews>
  <sheetFormatPr baseColWidth="10" defaultRowHeight="15" x14ac:dyDescent="0.25"/>
  <cols>
    <col min="1" max="2" width="11.42578125" style="1" customWidth="1"/>
    <col min="3" max="3" width="9.85546875" style="1" customWidth="1"/>
    <col min="4" max="4" width="11.42578125" style="1" customWidth="1"/>
    <col min="5" max="5" width="37.85546875" style="70" customWidth="1"/>
    <col min="6" max="6" width="15.5703125" style="1" customWidth="1"/>
    <col min="7" max="7" width="14.140625" style="1" customWidth="1"/>
    <col min="8" max="8" width="15.140625" style="1" customWidth="1"/>
    <col min="9" max="9" width="13.7109375" style="1" customWidth="1"/>
    <col min="10" max="10" width="13.7109375" style="1" bestFit="1" customWidth="1"/>
    <col min="11" max="11" width="15.140625" style="1" customWidth="1"/>
    <col min="12" max="12" width="2" style="1" customWidth="1"/>
    <col min="13" max="14" width="14.140625" bestFit="1" customWidth="1"/>
    <col min="18" max="18" width="12" bestFit="1" customWidth="1"/>
    <col min="20" max="16384" width="11.42578125" style="1"/>
  </cols>
  <sheetData>
    <row r="1" spans="1:19" ht="15.75" customHeight="1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9" ht="15.75" customHeight="1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9" ht="15.75" customHeight="1" x14ac:dyDescent="0.25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9" ht="15.75" customHeight="1" x14ac:dyDescent="0.25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9" ht="15.75" customHeight="1" x14ac:dyDescent="0.25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9" ht="6.75" customHeight="1" x14ac:dyDescent="0.25">
      <c r="D6" s="2"/>
      <c r="E6" s="3"/>
      <c r="F6" s="2"/>
    </row>
    <row r="7" spans="1:19" ht="24.75" customHeight="1" x14ac:dyDescent="0.25">
      <c r="A7" s="73" t="s">
        <v>4</v>
      </c>
      <c r="B7" s="73" t="s">
        <v>5</v>
      </c>
      <c r="C7" s="73" t="s">
        <v>6</v>
      </c>
      <c r="D7" s="73"/>
      <c r="E7" s="73"/>
      <c r="F7" s="74" t="s">
        <v>7</v>
      </c>
      <c r="G7" s="74"/>
      <c r="H7" s="74"/>
      <c r="I7" s="74"/>
      <c r="J7" s="74"/>
      <c r="K7" s="74" t="s">
        <v>8</v>
      </c>
    </row>
    <row r="8" spans="1:19" ht="28.5" customHeight="1" x14ac:dyDescent="0.25">
      <c r="A8" s="73"/>
      <c r="B8" s="73"/>
      <c r="C8" s="4" t="s">
        <v>9</v>
      </c>
      <c r="D8" s="4" t="s">
        <v>10</v>
      </c>
      <c r="E8" s="5" t="s">
        <v>11</v>
      </c>
      <c r="F8" s="6" t="s">
        <v>12</v>
      </c>
      <c r="G8" s="6" t="s">
        <v>13</v>
      </c>
      <c r="H8" s="6" t="s">
        <v>14</v>
      </c>
      <c r="I8" s="6" t="s">
        <v>15</v>
      </c>
      <c r="J8" s="6" t="s">
        <v>16</v>
      </c>
      <c r="K8" s="74"/>
    </row>
    <row r="9" spans="1:19" s="12" customFormat="1" x14ac:dyDescent="0.25">
      <c r="A9" s="7"/>
      <c r="B9" s="8"/>
      <c r="C9" s="8"/>
      <c r="D9" s="9"/>
      <c r="E9" s="10"/>
      <c r="F9" s="11"/>
      <c r="G9" s="11"/>
      <c r="H9" s="11"/>
      <c r="I9" s="11"/>
      <c r="J9" s="11"/>
      <c r="K9" s="11"/>
      <c r="M9"/>
      <c r="N9"/>
      <c r="O9"/>
      <c r="P9"/>
      <c r="Q9"/>
      <c r="R9"/>
      <c r="S9"/>
    </row>
    <row r="10" spans="1:19" s="12" customFormat="1" ht="15" customHeight="1" x14ac:dyDescent="0.25">
      <c r="A10" s="13" t="s">
        <v>17</v>
      </c>
      <c r="B10" s="14"/>
      <c r="C10" s="15"/>
      <c r="D10" s="15"/>
      <c r="E10" s="16"/>
      <c r="F10" s="17">
        <f>SUM(F12,F66,F138,F237,F245,F277,F282)</f>
        <v>999999999.99499989</v>
      </c>
      <c r="G10" s="17">
        <f t="shared" ref="G10:K10" si="0">SUM(G12,G66,G138,G237,G245,G277,G282)</f>
        <v>0</v>
      </c>
      <c r="H10" s="17">
        <f t="shared" si="0"/>
        <v>999999999.99499989</v>
      </c>
      <c r="I10" s="17">
        <f t="shared" si="0"/>
        <v>223255701.47999999</v>
      </c>
      <c r="J10" s="17">
        <f t="shared" si="0"/>
        <v>198001178.83999997</v>
      </c>
      <c r="K10" s="17">
        <f t="shared" si="0"/>
        <v>776744298.51500022</v>
      </c>
      <c r="M10"/>
      <c r="N10"/>
      <c r="O10"/>
      <c r="P10"/>
      <c r="Q10"/>
      <c r="R10"/>
      <c r="S10"/>
    </row>
    <row r="11" spans="1:19" s="12" customFormat="1" x14ac:dyDescent="0.25">
      <c r="A11" s="7"/>
      <c r="B11" s="18"/>
      <c r="C11" s="19"/>
      <c r="D11" s="20"/>
      <c r="E11" s="21"/>
      <c r="G11" s="22"/>
      <c r="K11" s="22"/>
      <c r="M11"/>
      <c r="N11"/>
      <c r="O11"/>
      <c r="P11"/>
      <c r="Q11"/>
      <c r="R11"/>
      <c r="S11"/>
    </row>
    <row r="12" spans="1:19" s="12" customFormat="1" ht="15" customHeight="1" x14ac:dyDescent="0.25">
      <c r="A12" s="23">
        <v>10000</v>
      </c>
      <c r="B12" s="24" t="s">
        <v>18</v>
      </c>
      <c r="C12" s="25"/>
      <c r="D12" s="25"/>
      <c r="E12" s="26"/>
      <c r="F12" s="27">
        <f t="shared" ref="F12:J12" si="1">SUM(F13,F18,F23,F34,F43,F62)</f>
        <v>951163073.14999986</v>
      </c>
      <c r="G12" s="27">
        <f>SUM(G13,G18,G23,G34,G43,G62)</f>
        <v>0</v>
      </c>
      <c r="H12" s="27">
        <f t="shared" si="1"/>
        <v>951163073.14999986</v>
      </c>
      <c r="I12" s="27">
        <f t="shared" si="1"/>
        <v>216013845.25</v>
      </c>
      <c r="J12" s="27">
        <f t="shared" si="1"/>
        <v>193326455.13999999</v>
      </c>
      <c r="K12" s="28">
        <f>SUM(K13,K18,K23,K34,K43,K62)</f>
        <v>735149227.9000001</v>
      </c>
      <c r="M12"/>
      <c r="N12"/>
      <c r="O12"/>
      <c r="P12"/>
      <c r="Q12"/>
      <c r="R12"/>
      <c r="S12"/>
    </row>
    <row r="13" spans="1:19" s="12" customFormat="1" x14ac:dyDescent="0.25">
      <c r="A13" s="29"/>
      <c r="B13" s="30">
        <v>11000</v>
      </c>
      <c r="C13" s="31" t="s">
        <v>19</v>
      </c>
      <c r="D13" s="32"/>
      <c r="E13" s="33"/>
      <c r="F13" s="34">
        <f t="shared" ref="F13:K13" si="2">SUM(F14,F16)</f>
        <v>383000620.53999996</v>
      </c>
      <c r="G13" s="34">
        <f t="shared" si="2"/>
        <v>0</v>
      </c>
      <c r="H13" s="34">
        <f t="shared" si="2"/>
        <v>383000620.53999996</v>
      </c>
      <c r="I13" s="34">
        <f t="shared" si="2"/>
        <v>93506538.450000003</v>
      </c>
      <c r="J13" s="34">
        <f t="shared" si="2"/>
        <v>93459259.780000001</v>
      </c>
      <c r="K13" s="34">
        <f t="shared" si="2"/>
        <v>289494082.09000003</v>
      </c>
      <c r="M13"/>
      <c r="N13"/>
      <c r="O13"/>
      <c r="P13"/>
      <c r="Q13"/>
      <c r="R13"/>
      <c r="S13"/>
    </row>
    <row r="14" spans="1:19" s="12" customFormat="1" x14ac:dyDescent="0.25">
      <c r="A14" s="29"/>
      <c r="B14" s="35"/>
      <c r="C14" s="36">
        <v>11100</v>
      </c>
      <c r="D14" s="37" t="s">
        <v>20</v>
      </c>
      <c r="E14" s="38"/>
      <c r="F14" s="39">
        <f t="shared" ref="F14:K14" si="3">SUM(F15)</f>
        <v>118393076</v>
      </c>
      <c r="G14" s="39">
        <f t="shared" si="3"/>
        <v>0</v>
      </c>
      <c r="H14" s="39">
        <f t="shared" si="3"/>
        <v>118393076</v>
      </c>
      <c r="I14" s="39">
        <f t="shared" si="3"/>
        <v>25371529.59</v>
      </c>
      <c r="J14" s="39">
        <f t="shared" si="3"/>
        <v>25371529.59</v>
      </c>
      <c r="K14" s="39">
        <f t="shared" si="3"/>
        <v>93021546.409999996</v>
      </c>
      <c r="M14"/>
      <c r="N14"/>
      <c r="O14"/>
      <c r="P14"/>
      <c r="Q14"/>
      <c r="R14"/>
      <c r="S14"/>
    </row>
    <row r="15" spans="1:19" s="12" customFormat="1" x14ac:dyDescent="0.25">
      <c r="A15" s="29"/>
      <c r="B15" s="40"/>
      <c r="C15" s="35"/>
      <c r="D15" s="41">
        <v>11101</v>
      </c>
      <c r="E15" s="42" t="s">
        <v>21</v>
      </c>
      <c r="F15" s="43">
        <v>118393076</v>
      </c>
      <c r="G15" s="43"/>
      <c r="H15" s="43">
        <f t="shared" ref="H15" si="4">F15+G15</f>
        <v>118393076</v>
      </c>
      <c r="I15" s="43">
        <v>25371529.59</v>
      </c>
      <c r="J15" s="43">
        <v>25371529.59</v>
      </c>
      <c r="K15" s="28">
        <f>H15-I15</f>
        <v>93021546.409999996</v>
      </c>
      <c r="M15"/>
      <c r="N15"/>
      <c r="O15"/>
      <c r="P15"/>
      <c r="Q15"/>
      <c r="R15"/>
      <c r="S15"/>
    </row>
    <row r="16" spans="1:19" s="12" customFormat="1" x14ac:dyDescent="0.25">
      <c r="A16" s="29"/>
      <c r="B16" s="35"/>
      <c r="C16" s="36">
        <v>11300</v>
      </c>
      <c r="D16" s="37" t="s">
        <v>22</v>
      </c>
      <c r="E16" s="38"/>
      <c r="F16" s="39">
        <f t="shared" ref="F16:K16" si="5">SUM(F17)</f>
        <v>264607544.53999999</v>
      </c>
      <c r="G16" s="39">
        <f t="shared" si="5"/>
        <v>0</v>
      </c>
      <c r="H16" s="39">
        <f t="shared" si="5"/>
        <v>264607544.53999999</v>
      </c>
      <c r="I16" s="39">
        <f t="shared" si="5"/>
        <v>68135008.859999999</v>
      </c>
      <c r="J16" s="39">
        <f t="shared" si="5"/>
        <v>68087730.189999998</v>
      </c>
      <c r="K16" s="39">
        <f t="shared" si="5"/>
        <v>196472535.68000001</v>
      </c>
      <c r="M16"/>
      <c r="N16"/>
      <c r="O16"/>
      <c r="P16"/>
      <c r="Q16"/>
      <c r="R16"/>
      <c r="S16"/>
    </row>
    <row r="17" spans="1:19" s="12" customFormat="1" x14ac:dyDescent="0.25">
      <c r="A17" s="29"/>
      <c r="B17" s="40"/>
      <c r="C17" s="35"/>
      <c r="D17" s="41">
        <v>11301</v>
      </c>
      <c r="E17" s="42" t="s">
        <v>23</v>
      </c>
      <c r="F17" s="43">
        <v>264607544.53999999</v>
      </c>
      <c r="G17" s="43"/>
      <c r="H17" s="43">
        <f t="shared" ref="H17" si="6">F17+G17</f>
        <v>264607544.53999999</v>
      </c>
      <c r="I17" s="43">
        <v>68135008.859999999</v>
      </c>
      <c r="J17" s="43">
        <f>68135008.86-47278.67</f>
        <v>68087730.189999998</v>
      </c>
      <c r="K17" s="28">
        <f t="shared" ref="K17:K80" si="7">H17-I17</f>
        <v>196472535.68000001</v>
      </c>
      <c r="M17"/>
      <c r="N17"/>
      <c r="O17"/>
      <c r="P17"/>
      <c r="Q17"/>
      <c r="R17"/>
      <c r="S17"/>
    </row>
    <row r="18" spans="1:19" s="12" customFormat="1" x14ac:dyDescent="0.25">
      <c r="A18" s="29"/>
      <c r="B18" s="30">
        <v>12000</v>
      </c>
      <c r="C18" s="31" t="s">
        <v>24</v>
      </c>
      <c r="D18" s="32"/>
      <c r="E18" s="33"/>
      <c r="F18" s="34">
        <f>SUM(F19)</f>
        <v>3413057.21</v>
      </c>
      <c r="G18" s="34">
        <f t="shared" ref="G18:K18" si="8">SUM(G19,G21)</f>
        <v>0</v>
      </c>
      <c r="H18" s="34">
        <f t="shared" si="8"/>
        <v>3413057.21</v>
      </c>
      <c r="I18" s="34">
        <f t="shared" si="8"/>
        <v>467160.83</v>
      </c>
      <c r="J18" s="34">
        <f t="shared" si="8"/>
        <v>467160.83</v>
      </c>
      <c r="K18" s="34">
        <f t="shared" si="8"/>
        <v>2945896.38</v>
      </c>
      <c r="M18"/>
      <c r="N18"/>
      <c r="O18"/>
      <c r="P18"/>
      <c r="Q18"/>
      <c r="R18"/>
      <c r="S18"/>
    </row>
    <row r="19" spans="1:19" s="12" customFormat="1" x14ac:dyDescent="0.25">
      <c r="A19" s="29"/>
      <c r="B19" s="35"/>
      <c r="C19" s="36">
        <v>12200</v>
      </c>
      <c r="D19" s="37" t="s">
        <v>25</v>
      </c>
      <c r="E19" s="38"/>
      <c r="F19" s="39">
        <f t="shared" ref="F19:K19" si="9">SUM(F20)</f>
        <v>3413057.21</v>
      </c>
      <c r="G19" s="39">
        <f t="shared" si="9"/>
        <v>0</v>
      </c>
      <c r="H19" s="39">
        <f t="shared" si="9"/>
        <v>3413057.21</v>
      </c>
      <c r="I19" s="39">
        <f t="shared" si="9"/>
        <v>467160.83</v>
      </c>
      <c r="J19" s="39">
        <f t="shared" si="9"/>
        <v>467160.83</v>
      </c>
      <c r="K19" s="39">
        <f t="shared" si="9"/>
        <v>2945896.38</v>
      </c>
      <c r="M19"/>
      <c r="N19"/>
      <c r="O19"/>
      <c r="P19"/>
      <c r="Q19"/>
      <c r="R19"/>
      <c r="S19"/>
    </row>
    <row r="20" spans="1:19" s="12" customFormat="1" x14ac:dyDescent="0.25">
      <c r="A20" s="29"/>
      <c r="B20" s="40"/>
      <c r="C20" s="35"/>
      <c r="D20" s="44">
        <v>12201</v>
      </c>
      <c r="E20" s="45" t="s">
        <v>26</v>
      </c>
      <c r="F20" s="43">
        <v>3413057.21</v>
      </c>
      <c r="G20" s="43"/>
      <c r="H20" s="43">
        <f t="shared" ref="H20" si="10">F20+G20</f>
        <v>3413057.21</v>
      </c>
      <c r="I20" s="43">
        <v>467160.83</v>
      </c>
      <c r="J20" s="43">
        <v>467160.83</v>
      </c>
      <c r="K20" s="28">
        <f t="shared" si="7"/>
        <v>2945896.38</v>
      </c>
      <c r="M20"/>
      <c r="N20"/>
      <c r="O20"/>
      <c r="P20"/>
      <c r="Q20"/>
      <c r="R20"/>
      <c r="S20"/>
    </row>
    <row r="21" spans="1:19" s="12" customFormat="1" hidden="1" x14ac:dyDescent="0.25">
      <c r="A21" s="29"/>
      <c r="B21" s="35"/>
      <c r="C21" s="36">
        <v>12300</v>
      </c>
      <c r="D21" s="37" t="s">
        <v>27</v>
      </c>
      <c r="E21" s="38"/>
      <c r="F21" s="39"/>
      <c r="G21" s="39">
        <f t="shared" ref="G21:K21" si="11">SUM(G22)</f>
        <v>0</v>
      </c>
      <c r="H21" s="39">
        <f t="shared" si="11"/>
        <v>0</v>
      </c>
      <c r="I21" s="39">
        <f t="shared" si="11"/>
        <v>0</v>
      </c>
      <c r="J21" s="39">
        <f t="shared" si="11"/>
        <v>0</v>
      </c>
      <c r="K21" s="39">
        <f t="shared" si="11"/>
        <v>0</v>
      </c>
      <c r="M21"/>
      <c r="N21"/>
      <c r="O21"/>
      <c r="P21"/>
      <c r="Q21"/>
      <c r="R21"/>
      <c r="S21"/>
    </row>
    <row r="22" spans="1:19" s="12" customFormat="1" ht="30" hidden="1" x14ac:dyDescent="0.25">
      <c r="A22" s="29"/>
      <c r="B22" s="40"/>
      <c r="C22" s="35"/>
      <c r="D22" s="41">
        <v>12301</v>
      </c>
      <c r="E22" s="42" t="s">
        <v>28</v>
      </c>
      <c r="F22" s="43"/>
      <c r="G22" s="43"/>
      <c r="H22" s="43">
        <f t="shared" ref="H22" si="12">F22+G22</f>
        <v>0</v>
      </c>
      <c r="I22" s="43"/>
      <c r="J22" s="43"/>
      <c r="K22" s="28">
        <f t="shared" si="7"/>
        <v>0</v>
      </c>
      <c r="M22"/>
      <c r="N22"/>
      <c r="O22"/>
      <c r="P22"/>
      <c r="Q22"/>
      <c r="R22"/>
      <c r="S22"/>
    </row>
    <row r="23" spans="1:19" s="12" customFormat="1" x14ac:dyDescent="0.25">
      <c r="A23" s="29"/>
      <c r="B23" s="30">
        <v>13000</v>
      </c>
      <c r="C23" s="31" t="s">
        <v>29</v>
      </c>
      <c r="D23" s="32"/>
      <c r="E23" s="33"/>
      <c r="F23" s="34">
        <f t="shared" ref="F23:K23" si="13">SUM(F24,F27,F30,F32)</f>
        <v>297413690.37</v>
      </c>
      <c r="G23" s="34">
        <f t="shared" si="13"/>
        <v>0</v>
      </c>
      <c r="H23" s="34">
        <f t="shared" si="13"/>
        <v>297413690.37</v>
      </c>
      <c r="I23" s="34">
        <f t="shared" si="13"/>
        <v>59942953.659999996</v>
      </c>
      <c r="J23" s="34">
        <f t="shared" si="13"/>
        <v>59798337.649999999</v>
      </c>
      <c r="K23" s="34">
        <f t="shared" si="13"/>
        <v>237470736.71000001</v>
      </c>
      <c r="M23"/>
      <c r="N23"/>
      <c r="O23"/>
      <c r="P23"/>
      <c r="Q23"/>
      <c r="R23"/>
      <c r="S23"/>
    </row>
    <row r="24" spans="1:19" s="12" customFormat="1" x14ac:dyDescent="0.25">
      <c r="A24" s="29"/>
      <c r="B24" s="35"/>
      <c r="C24" s="36">
        <v>13100</v>
      </c>
      <c r="D24" s="37" t="s">
        <v>30</v>
      </c>
      <c r="E24" s="38"/>
      <c r="F24" s="39">
        <f t="shared" ref="F24:K24" si="14">SUM(F25:F26)</f>
        <v>6352937.1200000001</v>
      </c>
      <c r="G24" s="39">
        <f t="shared" si="14"/>
        <v>0</v>
      </c>
      <c r="H24" s="39">
        <f t="shared" si="14"/>
        <v>6352937.1200000001</v>
      </c>
      <c r="I24" s="39">
        <f t="shared" si="14"/>
        <v>1177540.75</v>
      </c>
      <c r="J24" s="39">
        <f t="shared" si="14"/>
        <v>1177540.75</v>
      </c>
      <c r="K24" s="39">
        <f t="shared" si="14"/>
        <v>5175396.37</v>
      </c>
      <c r="M24"/>
      <c r="N24"/>
      <c r="O24"/>
      <c r="P24"/>
      <c r="Q24"/>
      <c r="R24"/>
      <c r="S24"/>
    </row>
    <row r="25" spans="1:19" s="12" customFormat="1" ht="30" x14ac:dyDescent="0.25">
      <c r="A25" s="29"/>
      <c r="B25" s="40"/>
      <c r="C25" s="35"/>
      <c r="D25" s="41">
        <v>13101</v>
      </c>
      <c r="E25" s="42" t="s">
        <v>31</v>
      </c>
      <c r="F25" s="43">
        <v>3100768.96</v>
      </c>
      <c r="G25" s="43"/>
      <c r="H25" s="43">
        <f t="shared" ref="H25:H26" si="15">F25+G25</f>
        <v>3100768.96</v>
      </c>
      <c r="I25" s="43">
        <v>751743.83</v>
      </c>
      <c r="J25" s="43">
        <v>751743.83</v>
      </c>
      <c r="K25" s="28">
        <f t="shared" si="7"/>
        <v>2349025.13</v>
      </c>
      <c r="M25"/>
      <c r="N25"/>
      <c r="O25"/>
      <c r="P25"/>
      <c r="Q25"/>
      <c r="R25"/>
      <c r="S25"/>
    </row>
    <row r="26" spans="1:19" s="12" customFormat="1" x14ac:dyDescent="0.25">
      <c r="A26" s="29"/>
      <c r="B26" s="40"/>
      <c r="C26" s="35"/>
      <c r="D26" s="41">
        <v>13102</v>
      </c>
      <c r="E26" s="42" t="s">
        <v>32</v>
      </c>
      <c r="F26" s="43">
        <v>3252168.16</v>
      </c>
      <c r="G26" s="43"/>
      <c r="H26" s="43">
        <f t="shared" si="15"/>
        <v>3252168.16</v>
      </c>
      <c r="I26" s="43">
        <v>425796.92</v>
      </c>
      <c r="J26" s="43">
        <v>425796.92</v>
      </c>
      <c r="K26" s="28">
        <f t="shared" si="7"/>
        <v>2826371.24</v>
      </c>
      <c r="M26"/>
      <c r="N26"/>
      <c r="O26"/>
      <c r="P26"/>
      <c r="Q26"/>
      <c r="R26"/>
      <c r="S26"/>
    </row>
    <row r="27" spans="1:19" s="12" customFormat="1" x14ac:dyDescent="0.25">
      <c r="A27" s="29"/>
      <c r="B27" s="35"/>
      <c r="C27" s="36">
        <v>13200</v>
      </c>
      <c r="D27" s="37" t="s">
        <v>33</v>
      </c>
      <c r="E27" s="38"/>
      <c r="F27" s="39">
        <f t="shared" ref="F27:K27" si="16">SUM(F28:F29)</f>
        <v>123583472.25</v>
      </c>
      <c r="G27" s="39">
        <f t="shared" si="16"/>
        <v>0</v>
      </c>
      <c r="H27" s="39">
        <f t="shared" si="16"/>
        <v>123583472.25</v>
      </c>
      <c r="I27" s="39">
        <f t="shared" si="16"/>
        <v>20865874.629999999</v>
      </c>
      <c r="J27" s="39">
        <f t="shared" si="16"/>
        <v>20725555.369999997</v>
      </c>
      <c r="K27" s="39">
        <f t="shared" si="16"/>
        <v>102717597.62</v>
      </c>
      <c r="M27"/>
      <c r="N27"/>
      <c r="O27"/>
      <c r="P27"/>
      <c r="Q27"/>
      <c r="R27"/>
      <c r="S27"/>
    </row>
    <row r="28" spans="1:19" s="12" customFormat="1" x14ac:dyDescent="0.25">
      <c r="A28" s="29"/>
      <c r="B28" s="40"/>
      <c r="C28" s="35"/>
      <c r="D28" s="41">
        <v>13202</v>
      </c>
      <c r="E28" s="42" t="s">
        <v>34</v>
      </c>
      <c r="F28" s="43">
        <v>31131894.719999999</v>
      </c>
      <c r="G28" s="43"/>
      <c r="H28" s="43">
        <f t="shared" ref="H28:H29" si="17">F28+G28</f>
        <v>31131894.719999999</v>
      </c>
      <c r="I28" s="43">
        <v>60565.79</v>
      </c>
      <c r="J28" s="43">
        <f>60565.79-30945.25</f>
        <v>29620.54</v>
      </c>
      <c r="K28" s="28">
        <f t="shared" si="7"/>
        <v>31071328.93</v>
      </c>
      <c r="M28"/>
      <c r="N28"/>
      <c r="O28"/>
      <c r="P28"/>
      <c r="Q28"/>
      <c r="R28"/>
      <c r="S28"/>
    </row>
    <row r="29" spans="1:19" s="12" customFormat="1" x14ac:dyDescent="0.25">
      <c r="A29" s="29"/>
      <c r="B29" s="40"/>
      <c r="C29" s="35"/>
      <c r="D29" s="41">
        <v>13203</v>
      </c>
      <c r="E29" s="42" t="s">
        <v>35</v>
      </c>
      <c r="F29" s="43">
        <v>92451577.530000001</v>
      </c>
      <c r="G29" s="43"/>
      <c r="H29" s="43">
        <f t="shared" si="17"/>
        <v>92451577.530000001</v>
      </c>
      <c r="I29" s="43">
        <v>20805308.84</v>
      </c>
      <c r="J29" s="43">
        <f>20805308.84-109374.01</f>
        <v>20695934.829999998</v>
      </c>
      <c r="K29" s="28">
        <f t="shared" si="7"/>
        <v>71646268.689999998</v>
      </c>
      <c r="M29"/>
      <c r="N29"/>
      <c r="O29"/>
      <c r="P29"/>
      <c r="Q29"/>
      <c r="R29"/>
      <c r="S29"/>
    </row>
    <row r="30" spans="1:19" s="12" customFormat="1" x14ac:dyDescent="0.25">
      <c r="A30" s="29"/>
      <c r="B30" s="35"/>
      <c r="C30" s="36">
        <v>13300</v>
      </c>
      <c r="D30" s="37" t="s">
        <v>36</v>
      </c>
      <c r="E30" s="38"/>
      <c r="F30" s="39">
        <f t="shared" ref="F30" si="18">SUM(F31)</f>
        <v>1477281</v>
      </c>
      <c r="G30" s="39">
        <f t="shared" ref="G30:K30" si="19">SUM(G31)</f>
        <v>0</v>
      </c>
      <c r="H30" s="39">
        <f t="shared" si="19"/>
        <v>1477281</v>
      </c>
      <c r="I30" s="39">
        <f t="shared" si="19"/>
        <v>343737</v>
      </c>
      <c r="J30" s="39">
        <f t="shared" si="19"/>
        <v>343737</v>
      </c>
      <c r="K30" s="39">
        <f t="shared" si="19"/>
        <v>1133544</v>
      </c>
      <c r="M30"/>
      <c r="N30"/>
      <c r="O30"/>
      <c r="P30"/>
      <c r="Q30"/>
      <c r="R30"/>
      <c r="S30"/>
    </row>
    <row r="31" spans="1:19" s="12" customFormat="1" x14ac:dyDescent="0.25">
      <c r="A31" s="29"/>
      <c r="B31" s="40"/>
      <c r="C31" s="35"/>
      <c r="D31" s="41">
        <v>13301</v>
      </c>
      <c r="E31" s="42" t="s">
        <v>37</v>
      </c>
      <c r="F31" s="43">
        <v>1477281</v>
      </c>
      <c r="G31" s="43"/>
      <c r="H31" s="43">
        <f t="shared" ref="H31" si="20">F31+G31</f>
        <v>1477281</v>
      </c>
      <c r="I31" s="43">
        <v>343737</v>
      </c>
      <c r="J31" s="43">
        <v>343737</v>
      </c>
      <c r="K31" s="28">
        <f t="shared" si="7"/>
        <v>1133544</v>
      </c>
      <c r="M31"/>
      <c r="N31"/>
      <c r="O31"/>
      <c r="P31"/>
      <c r="Q31"/>
      <c r="R31"/>
      <c r="S31"/>
    </row>
    <row r="32" spans="1:19" s="12" customFormat="1" x14ac:dyDescent="0.25">
      <c r="A32" s="29"/>
      <c r="B32" s="35"/>
      <c r="C32" s="36">
        <v>13400</v>
      </c>
      <c r="D32" s="37" t="s">
        <v>38</v>
      </c>
      <c r="E32" s="38"/>
      <c r="F32" s="39">
        <f t="shared" ref="F32:K32" si="21">SUM(F33)</f>
        <v>166000000</v>
      </c>
      <c r="G32" s="39">
        <f t="shared" si="21"/>
        <v>0</v>
      </c>
      <c r="H32" s="39">
        <f t="shared" si="21"/>
        <v>166000000</v>
      </c>
      <c r="I32" s="39">
        <f t="shared" si="21"/>
        <v>37555801.280000001</v>
      </c>
      <c r="J32" s="39">
        <f t="shared" si="21"/>
        <v>37551504.530000001</v>
      </c>
      <c r="K32" s="39">
        <f t="shared" si="21"/>
        <v>128444198.72</v>
      </c>
      <c r="M32"/>
      <c r="N32"/>
      <c r="O32"/>
      <c r="P32"/>
      <c r="Q32"/>
      <c r="R32"/>
      <c r="S32"/>
    </row>
    <row r="33" spans="1:19" s="12" customFormat="1" x14ac:dyDescent="0.25">
      <c r="A33" s="29"/>
      <c r="B33" s="40"/>
      <c r="C33" s="35"/>
      <c r="D33" s="41">
        <v>13401</v>
      </c>
      <c r="E33" s="42" t="s">
        <v>38</v>
      </c>
      <c r="F33" s="43">
        <v>166000000</v>
      </c>
      <c r="G33" s="43"/>
      <c r="H33" s="43">
        <f t="shared" ref="H33" si="22">F33+G33</f>
        <v>166000000</v>
      </c>
      <c r="I33" s="43">
        <v>37555801.280000001</v>
      </c>
      <c r="J33" s="43">
        <f>37555801.28-4296.75</f>
        <v>37551504.530000001</v>
      </c>
      <c r="K33" s="28">
        <f t="shared" si="7"/>
        <v>128444198.72</v>
      </c>
      <c r="M33"/>
      <c r="N33"/>
      <c r="O33"/>
      <c r="P33"/>
      <c r="Q33"/>
      <c r="R33"/>
      <c r="S33"/>
    </row>
    <row r="34" spans="1:19" s="12" customFormat="1" x14ac:dyDescent="0.25">
      <c r="A34" s="29"/>
      <c r="B34" s="30">
        <v>14000</v>
      </c>
      <c r="C34" s="31" t="s">
        <v>39</v>
      </c>
      <c r="D34" s="32"/>
      <c r="E34" s="33"/>
      <c r="F34" s="34">
        <f t="shared" ref="F34:K34" si="23">SUM(F35,F38)</f>
        <v>105819264.71000001</v>
      </c>
      <c r="G34" s="34">
        <f t="shared" si="23"/>
        <v>0</v>
      </c>
      <c r="H34" s="34">
        <f t="shared" si="23"/>
        <v>105819264.71000001</v>
      </c>
      <c r="I34" s="34">
        <f t="shared" si="23"/>
        <v>25954213.660000004</v>
      </c>
      <c r="J34" s="34">
        <f t="shared" si="23"/>
        <v>3467562.1800000006</v>
      </c>
      <c r="K34" s="34">
        <f t="shared" si="23"/>
        <v>79865051.049999997</v>
      </c>
      <c r="M34"/>
      <c r="N34"/>
      <c r="O34"/>
      <c r="P34"/>
      <c r="Q34"/>
      <c r="R34"/>
      <c r="S34"/>
    </row>
    <row r="35" spans="1:19" s="12" customFormat="1" x14ac:dyDescent="0.25">
      <c r="A35" s="29"/>
      <c r="B35" s="35"/>
      <c r="C35" s="36">
        <v>14100</v>
      </c>
      <c r="D35" s="37" t="s">
        <v>40</v>
      </c>
      <c r="E35" s="38"/>
      <c r="F35" s="39">
        <f t="shared" ref="F35" si="24">SUM(F36:F37)</f>
        <v>90139264.710000008</v>
      </c>
      <c r="G35" s="39">
        <f t="shared" ref="G35:K35" si="25">SUM(G36:G37)</f>
        <v>0</v>
      </c>
      <c r="H35" s="39">
        <f t="shared" si="25"/>
        <v>90139264.710000008</v>
      </c>
      <c r="I35" s="39">
        <f t="shared" si="25"/>
        <v>22513577.270000003</v>
      </c>
      <c r="J35" s="39">
        <f t="shared" si="25"/>
        <v>26925.790000001114</v>
      </c>
      <c r="K35" s="39">
        <f t="shared" si="25"/>
        <v>67625687.439999998</v>
      </c>
      <c r="M35"/>
      <c r="N35"/>
      <c r="O35"/>
      <c r="P35"/>
      <c r="Q35"/>
      <c r="R35"/>
      <c r="S35"/>
    </row>
    <row r="36" spans="1:19" s="12" customFormat="1" ht="30" x14ac:dyDescent="0.25">
      <c r="A36" s="29"/>
      <c r="B36" s="40"/>
      <c r="C36" s="35"/>
      <c r="D36" s="41">
        <v>14101</v>
      </c>
      <c r="E36" s="42" t="s">
        <v>41</v>
      </c>
      <c r="F36" s="43">
        <v>42494147.079999998</v>
      </c>
      <c r="G36" s="43"/>
      <c r="H36" s="43">
        <f t="shared" ref="H36:H37" si="26">F36+G36</f>
        <v>42494147.079999998</v>
      </c>
      <c r="I36" s="43">
        <f>10951428.63</f>
        <v>10951428.630000001</v>
      </c>
      <c r="J36" s="43">
        <f>I36-10836537.64-108502.02</f>
        <v>6388.9700000002194</v>
      </c>
      <c r="K36" s="28">
        <f t="shared" si="7"/>
        <v>31542718.449999996</v>
      </c>
      <c r="M36"/>
      <c r="N36"/>
      <c r="O36"/>
      <c r="P36"/>
      <c r="Q36"/>
      <c r="R36"/>
      <c r="S36"/>
    </row>
    <row r="37" spans="1:19" s="12" customFormat="1" ht="30" x14ac:dyDescent="0.25">
      <c r="A37" s="29"/>
      <c r="B37" s="40"/>
      <c r="C37" s="35"/>
      <c r="D37" s="41">
        <v>14102</v>
      </c>
      <c r="E37" s="42" t="s">
        <v>42</v>
      </c>
      <c r="F37" s="43">
        <v>47645117.630000003</v>
      </c>
      <c r="G37" s="43"/>
      <c r="H37" s="43">
        <f t="shared" si="26"/>
        <v>47645117.630000003</v>
      </c>
      <c r="I37" s="43">
        <f>11562148.64</f>
        <v>11562148.640000001</v>
      </c>
      <c r="J37" s="43">
        <f>11562148.64-11500538.18-41073.64</f>
        <v>20536.820000000895</v>
      </c>
      <c r="K37" s="28">
        <f t="shared" si="7"/>
        <v>36082968.990000002</v>
      </c>
      <c r="M37"/>
      <c r="N37"/>
      <c r="O37"/>
      <c r="P37"/>
      <c r="Q37"/>
      <c r="R37"/>
      <c r="S37"/>
    </row>
    <row r="38" spans="1:19" s="12" customFormat="1" x14ac:dyDescent="0.25">
      <c r="A38" s="29"/>
      <c r="B38" s="35"/>
      <c r="C38" s="36">
        <v>14400</v>
      </c>
      <c r="D38" s="37" t="s">
        <v>43</v>
      </c>
      <c r="E38" s="38"/>
      <c r="F38" s="39">
        <f>SUM(F39:F42)</f>
        <v>15680000</v>
      </c>
      <c r="G38" s="39">
        <f t="shared" ref="G38:K38" si="27">SUM(G39:G42)</f>
        <v>0</v>
      </c>
      <c r="H38" s="39">
        <f t="shared" si="27"/>
        <v>15680000</v>
      </c>
      <c r="I38" s="39">
        <f t="shared" si="27"/>
        <v>3440636.3899999997</v>
      </c>
      <c r="J38" s="39">
        <f t="shared" si="27"/>
        <v>3440636.3899999997</v>
      </c>
      <c r="K38" s="39">
        <f t="shared" si="27"/>
        <v>12239363.609999999</v>
      </c>
      <c r="M38"/>
      <c r="N38"/>
      <c r="O38"/>
      <c r="P38"/>
      <c r="Q38"/>
      <c r="R38"/>
      <c r="S38"/>
    </row>
    <row r="39" spans="1:19" s="12" customFormat="1" x14ac:dyDescent="0.25">
      <c r="A39" s="29"/>
      <c r="B39" s="40"/>
      <c r="C39" s="35"/>
      <c r="D39" s="41">
        <v>14401</v>
      </c>
      <c r="E39" s="42" t="s">
        <v>44</v>
      </c>
      <c r="F39" s="43">
        <v>1030000</v>
      </c>
      <c r="G39" s="43"/>
      <c r="H39" s="43">
        <f t="shared" ref="H39:H42" si="28">F39+G39</f>
        <v>1030000</v>
      </c>
      <c r="I39" s="43">
        <v>123276.75</v>
      </c>
      <c r="J39" s="43">
        <v>123276.75</v>
      </c>
      <c r="K39" s="28">
        <f t="shared" si="7"/>
        <v>906723.25</v>
      </c>
      <c r="M39"/>
      <c r="N39"/>
      <c r="O39"/>
      <c r="P39"/>
      <c r="Q39"/>
      <c r="R39"/>
      <c r="S39"/>
    </row>
    <row r="40" spans="1:19" s="12" customFormat="1" ht="30" x14ac:dyDescent="0.25">
      <c r="A40" s="29"/>
      <c r="B40" s="40"/>
      <c r="C40" s="35"/>
      <c r="D40" s="41">
        <v>14410</v>
      </c>
      <c r="E40" s="42" t="s">
        <v>45</v>
      </c>
      <c r="F40" s="43">
        <v>650000</v>
      </c>
      <c r="G40" s="43"/>
      <c r="H40" s="43">
        <f t="shared" si="28"/>
        <v>650000</v>
      </c>
      <c r="I40" s="43">
        <v>169422.59</v>
      </c>
      <c r="J40" s="43">
        <v>169422.59</v>
      </c>
      <c r="K40" s="28">
        <f t="shared" si="7"/>
        <v>480577.41000000003</v>
      </c>
      <c r="M40"/>
      <c r="N40"/>
      <c r="O40"/>
      <c r="P40"/>
      <c r="Q40"/>
      <c r="R40"/>
      <c r="S40"/>
    </row>
    <row r="41" spans="1:19" s="12" customFormat="1" ht="30" hidden="1" x14ac:dyDescent="0.25">
      <c r="A41" s="29"/>
      <c r="B41" s="40"/>
      <c r="C41" s="35"/>
      <c r="D41" s="41">
        <v>14411</v>
      </c>
      <c r="E41" s="42" t="s">
        <v>46</v>
      </c>
      <c r="F41" s="43"/>
      <c r="G41" s="43"/>
      <c r="H41" s="43">
        <f t="shared" si="28"/>
        <v>0</v>
      </c>
      <c r="I41" s="43"/>
      <c r="J41" s="43"/>
      <c r="K41" s="28">
        <f t="shared" si="7"/>
        <v>0</v>
      </c>
      <c r="M41"/>
      <c r="N41"/>
      <c r="O41"/>
      <c r="P41"/>
      <c r="Q41"/>
      <c r="R41"/>
      <c r="S41"/>
    </row>
    <row r="42" spans="1:19" s="12" customFormat="1" ht="30" x14ac:dyDescent="0.25">
      <c r="A42" s="29"/>
      <c r="B42" s="40"/>
      <c r="C42" s="35"/>
      <c r="D42" s="41">
        <v>14412</v>
      </c>
      <c r="E42" s="42" t="s">
        <v>47</v>
      </c>
      <c r="F42" s="43">
        <v>14000000</v>
      </c>
      <c r="G42" s="43"/>
      <c r="H42" s="43">
        <f t="shared" si="28"/>
        <v>14000000</v>
      </c>
      <c r="I42" s="46">
        <v>3147937.05</v>
      </c>
      <c r="J42" s="46">
        <v>3147937.05</v>
      </c>
      <c r="K42" s="28">
        <f t="shared" si="7"/>
        <v>10852062.949999999</v>
      </c>
      <c r="M42"/>
      <c r="N42"/>
      <c r="O42"/>
      <c r="P42"/>
      <c r="Q42"/>
      <c r="R42"/>
      <c r="S42"/>
    </row>
    <row r="43" spans="1:19" s="12" customFormat="1" x14ac:dyDescent="0.25">
      <c r="A43" s="29"/>
      <c r="B43" s="30">
        <v>15000</v>
      </c>
      <c r="C43" s="31" t="s">
        <v>48</v>
      </c>
      <c r="D43" s="32"/>
      <c r="E43" s="33"/>
      <c r="F43" s="34">
        <f>SUM(F46,F48,F58)</f>
        <v>149916175.56</v>
      </c>
      <c r="G43" s="34">
        <f t="shared" ref="G43:K43" si="29">SUM(G44,G46,G48,G56,G58)</f>
        <v>0</v>
      </c>
      <c r="H43" s="34">
        <f t="shared" si="29"/>
        <v>149916175.56</v>
      </c>
      <c r="I43" s="34">
        <f t="shared" si="29"/>
        <v>33528078.650000002</v>
      </c>
      <c r="J43" s="34">
        <f t="shared" si="29"/>
        <v>33519234.700000003</v>
      </c>
      <c r="K43" s="34">
        <f t="shared" si="29"/>
        <v>116388096.91000003</v>
      </c>
      <c r="M43"/>
      <c r="N43"/>
      <c r="O43"/>
      <c r="P43"/>
      <c r="Q43"/>
      <c r="R43"/>
      <c r="S43"/>
    </row>
    <row r="44" spans="1:19" s="12" customFormat="1" hidden="1" x14ac:dyDescent="0.25">
      <c r="A44" s="29"/>
      <c r="B44" s="35"/>
      <c r="C44" s="36">
        <v>15200</v>
      </c>
      <c r="D44" s="37" t="s">
        <v>49</v>
      </c>
      <c r="E44" s="38"/>
      <c r="F44" s="39"/>
      <c r="G44" s="39">
        <f t="shared" ref="G44:K44" si="30">SUM(G45)</f>
        <v>0</v>
      </c>
      <c r="H44" s="39">
        <f t="shared" si="30"/>
        <v>0</v>
      </c>
      <c r="I44" s="39">
        <f t="shared" si="30"/>
        <v>0</v>
      </c>
      <c r="J44" s="39">
        <f t="shared" si="30"/>
        <v>0</v>
      </c>
      <c r="K44" s="39">
        <f t="shared" si="30"/>
        <v>0</v>
      </c>
      <c r="M44"/>
      <c r="N44"/>
      <c r="O44"/>
      <c r="P44"/>
      <c r="Q44"/>
      <c r="R44"/>
      <c r="S44"/>
    </row>
    <row r="45" spans="1:19" s="12" customFormat="1" hidden="1" x14ac:dyDescent="0.25">
      <c r="A45" s="29"/>
      <c r="B45" s="40"/>
      <c r="C45" s="35"/>
      <c r="D45" s="41">
        <v>15201</v>
      </c>
      <c r="E45" s="42" t="s">
        <v>49</v>
      </c>
      <c r="F45" s="43"/>
      <c r="G45" s="43"/>
      <c r="H45" s="43">
        <f t="shared" ref="H45" si="31">F45+G45</f>
        <v>0</v>
      </c>
      <c r="I45" s="43"/>
      <c r="J45" s="43"/>
      <c r="K45" s="28">
        <f t="shared" si="7"/>
        <v>0</v>
      </c>
      <c r="M45"/>
      <c r="N45"/>
      <c r="O45"/>
      <c r="P45"/>
      <c r="Q45"/>
      <c r="R45"/>
      <c r="S45"/>
    </row>
    <row r="46" spans="1:19" s="12" customFormat="1" x14ac:dyDescent="0.25">
      <c r="A46" s="29"/>
      <c r="B46" s="35"/>
      <c r="C46" s="36">
        <v>15300</v>
      </c>
      <c r="D46" s="37" t="s">
        <v>50</v>
      </c>
      <c r="E46" s="38"/>
      <c r="F46" s="39">
        <f t="shared" ref="F46:K46" si="32">SUM(F47)</f>
        <v>482168.55</v>
      </c>
      <c r="G46" s="39">
        <f t="shared" si="32"/>
        <v>0</v>
      </c>
      <c r="H46" s="39">
        <f t="shared" si="32"/>
        <v>482168.55</v>
      </c>
      <c r="I46" s="39">
        <f t="shared" si="32"/>
        <v>150743.37</v>
      </c>
      <c r="J46" s="39">
        <f t="shared" si="32"/>
        <v>150743.37</v>
      </c>
      <c r="K46" s="39">
        <f t="shared" si="32"/>
        <v>331425.18</v>
      </c>
      <c r="M46"/>
      <c r="N46"/>
      <c r="O46"/>
      <c r="P46"/>
      <c r="Q46"/>
      <c r="R46"/>
      <c r="S46"/>
    </row>
    <row r="47" spans="1:19" s="12" customFormat="1" ht="30" x14ac:dyDescent="0.25">
      <c r="A47" s="29"/>
      <c r="B47" s="40"/>
      <c r="C47" s="35"/>
      <c r="D47" s="41">
        <v>15302</v>
      </c>
      <c r="E47" s="42" t="s">
        <v>51</v>
      </c>
      <c r="F47" s="43">
        <v>482168.55</v>
      </c>
      <c r="G47" s="43"/>
      <c r="H47" s="43">
        <f t="shared" ref="H47" si="33">F47+G47</f>
        <v>482168.55</v>
      </c>
      <c r="I47" s="43">
        <v>150743.37</v>
      </c>
      <c r="J47" s="43">
        <v>150743.37</v>
      </c>
      <c r="K47" s="28">
        <f t="shared" si="7"/>
        <v>331425.18</v>
      </c>
      <c r="M47"/>
      <c r="N47"/>
      <c r="O47"/>
      <c r="P47"/>
      <c r="Q47"/>
      <c r="R47"/>
      <c r="S47"/>
    </row>
    <row r="48" spans="1:19" s="12" customFormat="1" x14ac:dyDescent="0.25">
      <c r="A48" s="29"/>
      <c r="B48" s="35"/>
      <c r="C48" s="36">
        <v>15400</v>
      </c>
      <c r="D48" s="37" t="s">
        <v>52</v>
      </c>
      <c r="E48" s="38"/>
      <c r="F48" s="39">
        <f t="shared" ref="F48:K48" si="34">SUM(F49:F55)</f>
        <v>143702007.00999999</v>
      </c>
      <c r="G48" s="39">
        <f t="shared" si="34"/>
        <v>0</v>
      </c>
      <c r="H48" s="39">
        <f t="shared" si="34"/>
        <v>143702007.00999999</v>
      </c>
      <c r="I48" s="39">
        <f t="shared" si="34"/>
        <v>32780527.400000002</v>
      </c>
      <c r="J48" s="39">
        <f t="shared" si="34"/>
        <v>32774176.400000002</v>
      </c>
      <c r="K48" s="39">
        <f t="shared" si="34"/>
        <v>110921479.61000001</v>
      </c>
      <c r="M48"/>
      <c r="N48"/>
      <c r="O48"/>
      <c r="P48"/>
      <c r="Q48"/>
      <c r="R48"/>
      <c r="S48"/>
    </row>
    <row r="49" spans="1:19" s="12" customFormat="1" x14ac:dyDescent="0.25">
      <c r="A49" s="29"/>
      <c r="B49" s="40"/>
      <c r="C49" s="35"/>
      <c r="D49" s="41">
        <v>15401</v>
      </c>
      <c r="E49" s="42" t="s">
        <v>53</v>
      </c>
      <c r="F49" s="43">
        <v>29828373.5</v>
      </c>
      <c r="G49" s="43"/>
      <c r="H49" s="43">
        <f t="shared" ref="H49:H55" si="35">F49+G49</f>
        <v>29828373.5</v>
      </c>
      <c r="I49" s="43">
        <v>7754358.7199999997</v>
      </c>
      <c r="J49" s="43">
        <v>7754358.7199999997</v>
      </c>
      <c r="K49" s="28">
        <f t="shared" si="7"/>
        <v>22074014.780000001</v>
      </c>
      <c r="M49"/>
      <c r="N49"/>
      <c r="O49"/>
      <c r="P49"/>
      <c r="Q49"/>
      <c r="R49"/>
      <c r="S49"/>
    </row>
    <row r="50" spans="1:19" s="12" customFormat="1" x14ac:dyDescent="0.25">
      <c r="A50" s="29"/>
      <c r="B50" s="40"/>
      <c r="C50" s="35"/>
      <c r="D50" s="41">
        <v>15402</v>
      </c>
      <c r="E50" s="42" t="s">
        <v>54</v>
      </c>
      <c r="F50" s="43">
        <v>16377119.779999999</v>
      </c>
      <c r="G50" s="43"/>
      <c r="H50" s="43">
        <f t="shared" si="35"/>
        <v>16377119.779999999</v>
      </c>
      <c r="I50" s="43">
        <v>4261600.4400000004</v>
      </c>
      <c r="J50" s="43">
        <v>4261600.4400000004</v>
      </c>
      <c r="K50" s="28">
        <f t="shared" si="7"/>
        <v>12115519.34</v>
      </c>
      <c r="M50"/>
      <c r="N50"/>
      <c r="O50"/>
      <c r="P50"/>
      <c r="Q50"/>
      <c r="R50"/>
      <c r="S50"/>
    </row>
    <row r="51" spans="1:19" s="12" customFormat="1" x14ac:dyDescent="0.25">
      <c r="A51" s="29"/>
      <c r="B51" s="40"/>
      <c r="C51" s="35"/>
      <c r="D51" s="41">
        <v>15403</v>
      </c>
      <c r="E51" s="42" t="s">
        <v>55</v>
      </c>
      <c r="F51" s="43">
        <v>61450576.520000003</v>
      </c>
      <c r="G51" s="43"/>
      <c r="H51" s="43">
        <f t="shared" si="35"/>
        <v>61450576.520000003</v>
      </c>
      <c r="I51" s="43">
        <v>16050722.84</v>
      </c>
      <c r="J51" s="43">
        <v>16050722.84</v>
      </c>
      <c r="K51" s="28">
        <f t="shared" si="7"/>
        <v>45399853.680000007</v>
      </c>
      <c r="M51"/>
      <c r="N51"/>
      <c r="O51"/>
      <c r="P51"/>
      <c r="Q51"/>
      <c r="R51"/>
      <c r="S51"/>
    </row>
    <row r="52" spans="1:19" s="12" customFormat="1" x14ac:dyDescent="0.25">
      <c r="A52" s="29"/>
      <c r="B52" s="40"/>
      <c r="C52" s="35"/>
      <c r="D52" s="41">
        <v>15404</v>
      </c>
      <c r="E52" s="42" t="s">
        <v>56</v>
      </c>
      <c r="F52" s="43">
        <v>14380529.220000001</v>
      </c>
      <c r="G52" s="43"/>
      <c r="H52" s="43">
        <f t="shared" si="35"/>
        <v>14380529.220000001</v>
      </c>
      <c r="I52" s="43">
        <v>0</v>
      </c>
      <c r="J52" s="43">
        <v>0</v>
      </c>
      <c r="K52" s="28">
        <f t="shared" si="7"/>
        <v>14380529.220000001</v>
      </c>
      <c r="M52"/>
      <c r="N52"/>
      <c r="O52"/>
      <c r="P52"/>
      <c r="Q52"/>
      <c r="R52"/>
      <c r="S52"/>
    </row>
    <row r="53" spans="1:19" s="12" customFormat="1" x14ac:dyDescent="0.25">
      <c r="A53" s="29"/>
      <c r="B53" s="40"/>
      <c r="C53" s="35"/>
      <c r="D53" s="41">
        <v>15405</v>
      </c>
      <c r="E53" s="42" t="s">
        <v>57</v>
      </c>
      <c r="F53" s="43">
        <v>6260556.25</v>
      </c>
      <c r="G53" s="43"/>
      <c r="H53" s="43">
        <f t="shared" si="35"/>
        <v>6260556.25</v>
      </c>
      <c r="I53" s="43">
        <v>1610745.02</v>
      </c>
      <c r="J53" s="43">
        <v>1610745.02</v>
      </c>
      <c r="K53" s="28">
        <f t="shared" si="7"/>
        <v>4649811.2300000004</v>
      </c>
      <c r="M53"/>
      <c r="N53"/>
      <c r="O53"/>
      <c r="P53"/>
      <c r="Q53"/>
      <c r="R53"/>
      <c r="S53"/>
    </row>
    <row r="54" spans="1:19" s="12" customFormat="1" x14ac:dyDescent="0.25">
      <c r="A54" s="29"/>
      <c r="B54" s="40"/>
      <c r="C54" s="35"/>
      <c r="D54" s="41">
        <v>15406</v>
      </c>
      <c r="E54" s="42" t="s">
        <v>58</v>
      </c>
      <c r="F54" s="43">
        <v>11507475.539999999</v>
      </c>
      <c r="G54" s="43"/>
      <c r="H54" s="43">
        <f t="shared" si="35"/>
        <v>11507475.539999999</v>
      </c>
      <c r="I54" s="43">
        <v>3013751.01</v>
      </c>
      <c r="J54" s="43">
        <v>3013751.01</v>
      </c>
      <c r="K54" s="28">
        <f t="shared" si="7"/>
        <v>8493724.5299999993</v>
      </c>
      <c r="M54"/>
      <c r="N54"/>
      <c r="O54"/>
      <c r="P54"/>
      <c r="Q54"/>
      <c r="R54"/>
      <c r="S54"/>
    </row>
    <row r="55" spans="1:19" s="12" customFormat="1" x14ac:dyDescent="0.25">
      <c r="A55" s="29"/>
      <c r="B55" s="40"/>
      <c r="C55" s="35"/>
      <c r="D55" s="41">
        <v>15412</v>
      </c>
      <c r="E55" s="42" t="s">
        <v>59</v>
      </c>
      <c r="F55" s="43">
        <v>3897376.2</v>
      </c>
      <c r="G55" s="43"/>
      <c r="H55" s="43">
        <f t="shared" si="35"/>
        <v>3897376.2</v>
      </c>
      <c r="I55" s="43">
        <v>89349.37</v>
      </c>
      <c r="J55" s="43">
        <v>82998.37</v>
      </c>
      <c r="K55" s="28">
        <f t="shared" si="7"/>
        <v>3808026.83</v>
      </c>
      <c r="M55"/>
      <c r="N55"/>
      <c r="O55"/>
      <c r="P55"/>
      <c r="Q55"/>
      <c r="R55"/>
      <c r="S55"/>
    </row>
    <row r="56" spans="1:19" s="12" customFormat="1" hidden="1" x14ac:dyDescent="0.25">
      <c r="A56" s="29"/>
      <c r="B56" s="35"/>
      <c r="C56" s="36">
        <v>15500</v>
      </c>
      <c r="D56" s="37" t="s">
        <v>60</v>
      </c>
      <c r="E56" s="38"/>
      <c r="F56" s="39"/>
      <c r="G56" s="39">
        <f t="shared" ref="G56:K56" si="36">SUM(G57)</f>
        <v>0</v>
      </c>
      <c r="H56" s="39">
        <f t="shared" si="36"/>
        <v>0</v>
      </c>
      <c r="I56" s="39">
        <f t="shared" si="36"/>
        <v>0</v>
      </c>
      <c r="J56" s="39">
        <f t="shared" si="36"/>
        <v>0</v>
      </c>
      <c r="K56" s="39">
        <f t="shared" si="36"/>
        <v>0</v>
      </c>
      <c r="M56"/>
      <c r="N56"/>
      <c r="O56"/>
      <c r="P56"/>
      <c r="Q56"/>
      <c r="R56"/>
      <c r="S56"/>
    </row>
    <row r="57" spans="1:19" s="12" customFormat="1" hidden="1" x14ac:dyDescent="0.25">
      <c r="A57" s="29"/>
      <c r="B57" s="40"/>
      <c r="C57" s="35"/>
      <c r="D57" s="41">
        <v>15501</v>
      </c>
      <c r="E57" s="42" t="s">
        <v>61</v>
      </c>
      <c r="F57" s="43"/>
      <c r="G57" s="43"/>
      <c r="H57" s="43">
        <f t="shared" ref="H57" si="37">F57+G57</f>
        <v>0</v>
      </c>
      <c r="I57" s="43"/>
      <c r="J57" s="43"/>
      <c r="K57" s="28">
        <f t="shared" si="7"/>
        <v>0</v>
      </c>
      <c r="M57"/>
      <c r="N57"/>
      <c r="O57"/>
      <c r="P57"/>
      <c r="Q57"/>
      <c r="R57"/>
      <c r="S57"/>
    </row>
    <row r="58" spans="1:19" s="12" customFormat="1" x14ac:dyDescent="0.25">
      <c r="A58" s="29"/>
      <c r="B58" s="35"/>
      <c r="C58" s="36">
        <v>15900</v>
      </c>
      <c r="D58" s="37" t="s">
        <v>48</v>
      </c>
      <c r="E58" s="38"/>
      <c r="F58" s="39">
        <f>SUM(F60:F61)</f>
        <v>5732000</v>
      </c>
      <c r="G58" s="39">
        <f t="shared" ref="G58:K58" si="38">SUM(G59:G61)</f>
        <v>0</v>
      </c>
      <c r="H58" s="39">
        <f t="shared" si="38"/>
        <v>5732000</v>
      </c>
      <c r="I58" s="39">
        <f t="shared" si="38"/>
        <v>596807.88</v>
      </c>
      <c r="J58" s="39">
        <f t="shared" si="38"/>
        <v>594314.93000000005</v>
      </c>
      <c r="K58" s="39">
        <f t="shared" si="38"/>
        <v>5135192.12</v>
      </c>
      <c r="M58"/>
      <c r="N58"/>
      <c r="O58"/>
      <c r="P58"/>
      <c r="Q58"/>
      <c r="R58"/>
      <c r="S58"/>
    </row>
    <row r="59" spans="1:19" s="12" customFormat="1" hidden="1" x14ac:dyDescent="0.25">
      <c r="A59" s="29"/>
      <c r="B59" s="40"/>
      <c r="C59" s="35"/>
      <c r="D59" s="47">
        <v>15901</v>
      </c>
      <c r="E59" s="48" t="s">
        <v>62</v>
      </c>
      <c r="F59" s="43"/>
      <c r="G59" s="43"/>
      <c r="H59" s="43">
        <f t="shared" ref="H59:H61" si="39">F59+G59</f>
        <v>0</v>
      </c>
      <c r="I59" s="43"/>
      <c r="J59" s="43"/>
      <c r="K59" s="28">
        <f t="shared" si="7"/>
        <v>0</v>
      </c>
      <c r="M59"/>
      <c r="N59"/>
      <c r="O59"/>
      <c r="P59"/>
      <c r="Q59"/>
      <c r="R59"/>
      <c r="S59"/>
    </row>
    <row r="60" spans="1:19" s="12" customFormat="1" ht="30" x14ac:dyDescent="0.25">
      <c r="A60" s="29"/>
      <c r="B60" s="40"/>
      <c r="C60" s="35"/>
      <c r="D60" s="41">
        <v>15913</v>
      </c>
      <c r="E60" s="42" t="s">
        <v>63</v>
      </c>
      <c r="F60" s="43">
        <v>5060000</v>
      </c>
      <c r="G60" s="43"/>
      <c r="H60" s="43">
        <f t="shared" si="39"/>
        <v>5060000</v>
      </c>
      <c r="I60" s="43">
        <v>596807.88</v>
      </c>
      <c r="J60" s="43">
        <f>596807.88-2492.95</f>
        <v>594314.93000000005</v>
      </c>
      <c r="K60" s="28">
        <f t="shared" si="7"/>
        <v>4463192.12</v>
      </c>
      <c r="M60"/>
      <c r="N60"/>
      <c r="O60"/>
      <c r="P60"/>
      <c r="Q60"/>
      <c r="R60"/>
      <c r="S60"/>
    </row>
    <row r="61" spans="1:19" s="12" customFormat="1" x14ac:dyDescent="0.25">
      <c r="A61" s="29"/>
      <c r="B61" s="40"/>
      <c r="C61" s="35"/>
      <c r="D61" s="41">
        <v>15914</v>
      </c>
      <c r="E61" s="42" t="s">
        <v>64</v>
      </c>
      <c r="F61" s="43">
        <v>672000</v>
      </c>
      <c r="G61" s="43"/>
      <c r="H61" s="43">
        <f t="shared" si="39"/>
        <v>672000</v>
      </c>
      <c r="I61" s="43"/>
      <c r="J61" s="43"/>
      <c r="K61" s="28">
        <f t="shared" si="7"/>
        <v>672000</v>
      </c>
      <c r="M61"/>
      <c r="N61"/>
      <c r="O61"/>
      <c r="P61"/>
      <c r="Q61"/>
      <c r="R61"/>
      <c r="S61"/>
    </row>
    <row r="62" spans="1:19" s="12" customFormat="1" x14ac:dyDescent="0.25">
      <c r="A62" s="29"/>
      <c r="B62" s="30">
        <v>17000</v>
      </c>
      <c r="C62" s="31" t="s">
        <v>65</v>
      </c>
      <c r="D62" s="32"/>
      <c r="E62" s="33"/>
      <c r="F62" s="34">
        <f t="shared" ref="F62:K63" si="40">SUM(F63)</f>
        <v>11600264.76</v>
      </c>
      <c r="G62" s="34">
        <f t="shared" si="40"/>
        <v>0</v>
      </c>
      <c r="H62" s="34">
        <f t="shared" si="40"/>
        <v>11600264.76</v>
      </c>
      <c r="I62" s="34">
        <f t="shared" si="40"/>
        <v>2614900</v>
      </c>
      <c r="J62" s="34">
        <f t="shared" si="40"/>
        <v>2614900</v>
      </c>
      <c r="K62" s="34">
        <f t="shared" si="40"/>
        <v>8985364.7599999998</v>
      </c>
      <c r="M62"/>
      <c r="N62"/>
      <c r="O62"/>
      <c r="P62"/>
      <c r="Q62"/>
      <c r="R62"/>
      <c r="S62"/>
    </row>
    <row r="63" spans="1:19" s="12" customFormat="1" x14ac:dyDescent="0.25">
      <c r="A63" s="29"/>
      <c r="B63" s="35"/>
      <c r="C63" s="36">
        <v>17100</v>
      </c>
      <c r="D63" s="37" t="s">
        <v>66</v>
      </c>
      <c r="E63" s="38"/>
      <c r="F63" s="39">
        <f t="shared" si="40"/>
        <v>11600264.76</v>
      </c>
      <c r="G63" s="39">
        <f t="shared" si="40"/>
        <v>0</v>
      </c>
      <c r="H63" s="39">
        <f t="shared" si="40"/>
        <v>11600264.76</v>
      </c>
      <c r="I63" s="39">
        <f t="shared" si="40"/>
        <v>2614900</v>
      </c>
      <c r="J63" s="39">
        <f t="shared" si="40"/>
        <v>2614900</v>
      </c>
      <c r="K63" s="39">
        <f t="shared" si="40"/>
        <v>8985364.7599999998</v>
      </c>
      <c r="M63"/>
      <c r="N63"/>
      <c r="O63"/>
      <c r="P63"/>
      <c r="Q63"/>
      <c r="R63"/>
      <c r="S63"/>
    </row>
    <row r="64" spans="1:19" s="12" customFormat="1" x14ac:dyDescent="0.25">
      <c r="A64" s="29"/>
      <c r="B64" s="40"/>
      <c r="C64" s="35"/>
      <c r="D64" s="41">
        <v>17101</v>
      </c>
      <c r="E64" s="42" t="s">
        <v>67</v>
      </c>
      <c r="F64" s="43">
        <v>11600264.76</v>
      </c>
      <c r="G64" s="43"/>
      <c r="H64" s="43">
        <f t="shared" ref="H64" si="41">F64+G64</f>
        <v>11600264.76</v>
      </c>
      <c r="I64" s="43">
        <v>2614900</v>
      </c>
      <c r="J64" s="43">
        <v>2614900</v>
      </c>
      <c r="K64" s="28">
        <f t="shared" si="7"/>
        <v>8985364.7599999998</v>
      </c>
      <c r="M64"/>
      <c r="N64"/>
      <c r="O64"/>
      <c r="P64"/>
      <c r="Q64"/>
      <c r="R64"/>
      <c r="S64"/>
    </row>
    <row r="65" spans="1:19" s="12" customFormat="1" x14ac:dyDescent="0.25">
      <c r="A65" s="29"/>
      <c r="B65" s="40"/>
      <c r="C65" s="35"/>
      <c r="D65" s="41"/>
      <c r="E65" s="42"/>
      <c r="F65" s="43"/>
      <c r="G65" s="43"/>
      <c r="H65" s="43"/>
      <c r="I65" s="43"/>
      <c r="J65" s="43"/>
      <c r="K65" s="28"/>
      <c r="M65"/>
      <c r="N65"/>
      <c r="O65"/>
      <c r="P65"/>
      <c r="Q65"/>
      <c r="R65"/>
      <c r="S65"/>
    </row>
    <row r="66" spans="1:19" s="12" customFormat="1" x14ac:dyDescent="0.25">
      <c r="A66" s="23">
        <v>20000</v>
      </c>
      <c r="B66" s="24" t="s">
        <v>68</v>
      </c>
      <c r="C66" s="25"/>
      <c r="D66" s="25"/>
      <c r="E66" s="26"/>
      <c r="F66" s="28">
        <f>SUM(F67,F81,F88,F105,F112,F116,F122)</f>
        <v>15158792.625</v>
      </c>
      <c r="G66" s="28">
        <f t="shared" ref="G66:K66" si="42">SUM(G67,G81,G88,G105,G112,G116,G122)</f>
        <v>0</v>
      </c>
      <c r="H66" s="28">
        <f t="shared" si="42"/>
        <v>15158792.625</v>
      </c>
      <c r="I66" s="28">
        <f t="shared" si="42"/>
        <v>2885130.67</v>
      </c>
      <c r="J66" s="28">
        <f t="shared" si="42"/>
        <v>1840208.63</v>
      </c>
      <c r="K66" s="28">
        <f t="shared" si="42"/>
        <v>12273661.955</v>
      </c>
      <c r="M66"/>
      <c r="N66"/>
      <c r="O66"/>
      <c r="P66"/>
      <c r="Q66"/>
      <c r="R66"/>
      <c r="S66"/>
    </row>
    <row r="67" spans="1:19" s="12" customFormat="1" x14ac:dyDescent="0.25">
      <c r="A67" s="29"/>
      <c r="B67" s="30">
        <v>21000</v>
      </c>
      <c r="C67" s="31" t="s">
        <v>69</v>
      </c>
      <c r="D67" s="32"/>
      <c r="E67" s="33"/>
      <c r="F67" s="34">
        <f t="shared" ref="F67:K67" si="43">SUM(F68,F71,F73,F75,F77,F79)</f>
        <v>7621299.4299999997</v>
      </c>
      <c r="G67" s="34">
        <f t="shared" si="43"/>
        <v>0</v>
      </c>
      <c r="H67" s="34">
        <f t="shared" si="43"/>
        <v>7621299.4299999997</v>
      </c>
      <c r="I67" s="34">
        <f t="shared" si="43"/>
        <v>979561.44</v>
      </c>
      <c r="J67" s="34">
        <f t="shared" si="43"/>
        <v>208648.69000000006</v>
      </c>
      <c r="K67" s="34">
        <f t="shared" si="43"/>
        <v>6641737.9900000002</v>
      </c>
      <c r="M67"/>
      <c r="N67"/>
      <c r="O67"/>
      <c r="P67"/>
      <c r="Q67"/>
      <c r="R67"/>
      <c r="S67"/>
    </row>
    <row r="68" spans="1:19" s="12" customFormat="1" x14ac:dyDescent="0.25">
      <c r="A68" s="29"/>
      <c r="B68" s="35"/>
      <c r="C68" s="36">
        <v>21100</v>
      </c>
      <c r="D68" s="37" t="s">
        <v>70</v>
      </c>
      <c r="E68" s="38"/>
      <c r="F68" s="39">
        <f t="shared" ref="F68:K68" si="44">SUM(F69:F70)</f>
        <v>4310243.26</v>
      </c>
      <c r="G68" s="39">
        <f t="shared" si="44"/>
        <v>0</v>
      </c>
      <c r="H68" s="39">
        <f t="shared" si="44"/>
        <v>4310243.26</v>
      </c>
      <c r="I68" s="39">
        <f t="shared" si="44"/>
        <v>698305.14</v>
      </c>
      <c r="J68" s="39">
        <f t="shared" si="44"/>
        <v>133789.94000000003</v>
      </c>
      <c r="K68" s="39">
        <f t="shared" si="44"/>
        <v>3611938.12</v>
      </c>
      <c r="M68"/>
      <c r="N68"/>
      <c r="O68"/>
      <c r="P68"/>
      <c r="Q68"/>
      <c r="R68"/>
      <c r="S68"/>
    </row>
    <row r="69" spans="1:19" s="12" customFormat="1" x14ac:dyDescent="0.25">
      <c r="A69" s="29"/>
      <c r="B69" s="40"/>
      <c r="C69" s="35"/>
      <c r="D69" s="41">
        <v>21101</v>
      </c>
      <c r="E69" s="42" t="s">
        <v>71</v>
      </c>
      <c r="F69" s="43">
        <f>4284443+0.29</f>
        <v>4284443.29</v>
      </c>
      <c r="G69" s="43"/>
      <c r="H69" s="43">
        <f t="shared" ref="H69:H70" si="45">F69+G69</f>
        <v>4284443.29</v>
      </c>
      <c r="I69" s="43">
        <v>688157.47</v>
      </c>
      <c r="J69" s="43">
        <f>688157.47-547245.33-5594.4-4195.8</f>
        <v>131121.94000000003</v>
      </c>
      <c r="K69" s="28">
        <f t="shared" si="7"/>
        <v>3596285.8200000003</v>
      </c>
      <c r="M69"/>
      <c r="N69"/>
      <c r="O69"/>
      <c r="P69"/>
      <c r="Q69"/>
      <c r="R69"/>
      <c r="S69"/>
    </row>
    <row r="70" spans="1:19" s="12" customFormat="1" x14ac:dyDescent="0.25">
      <c r="A70" s="29"/>
      <c r="B70" s="40"/>
      <c r="C70" s="35"/>
      <c r="D70" s="41">
        <v>21102</v>
      </c>
      <c r="E70" s="42" t="s">
        <v>72</v>
      </c>
      <c r="F70" s="43">
        <v>25799.97</v>
      </c>
      <c r="G70" s="43"/>
      <c r="H70" s="43">
        <f t="shared" si="45"/>
        <v>25799.97</v>
      </c>
      <c r="I70" s="43">
        <v>10147.67</v>
      </c>
      <c r="J70" s="43">
        <f>10147.67-7479.67</f>
        <v>2668</v>
      </c>
      <c r="K70" s="28">
        <f t="shared" si="7"/>
        <v>15652.300000000001</v>
      </c>
      <c r="M70"/>
      <c r="N70"/>
      <c r="O70"/>
      <c r="P70"/>
      <c r="Q70"/>
      <c r="R70"/>
      <c r="S70"/>
    </row>
    <row r="71" spans="1:19" s="12" customFormat="1" x14ac:dyDescent="0.25">
      <c r="A71" s="29"/>
      <c r="B71" s="35"/>
      <c r="C71" s="36">
        <v>21200</v>
      </c>
      <c r="D71" s="37" t="s">
        <v>73</v>
      </c>
      <c r="E71" s="38"/>
      <c r="F71" s="39">
        <f t="shared" ref="F71" si="46">SUM(F72)</f>
        <v>189460.8</v>
      </c>
      <c r="G71" s="39">
        <f t="shared" ref="G71:K71" si="47">SUM(G72)</f>
        <v>0</v>
      </c>
      <c r="H71" s="39">
        <f t="shared" si="47"/>
        <v>189460.8</v>
      </c>
      <c r="I71" s="39">
        <f t="shared" si="47"/>
        <v>10660.2</v>
      </c>
      <c r="J71" s="39">
        <f t="shared" si="47"/>
        <v>9790.2000000000007</v>
      </c>
      <c r="K71" s="39">
        <f t="shared" si="47"/>
        <v>178800.59999999998</v>
      </c>
      <c r="M71"/>
      <c r="N71"/>
      <c r="O71"/>
      <c r="P71"/>
      <c r="Q71"/>
      <c r="R71"/>
      <c r="S71"/>
    </row>
    <row r="72" spans="1:19" s="12" customFormat="1" ht="30" x14ac:dyDescent="0.25">
      <c r="A72" s="29"/>
      <c r="B72" s="40"/>
      <c r="C72" s="35"/>
      <c r="D72" s="41">
        <v>21201</v>
      </c>
      <c r="E72" s="42" t="s">
        <v>73</v>
      </c>
      <c r="F72" s="43">
        <v>189460.8</v>
      </c>
      <c r="G72" s="43"/>
      <c r="H72" s="43">
        <f t="shared" ref="H72" si="48">F72+G72</f>
        <v>189460.8</v>
      </c>
      <c r="I72" s="43">
        <v>10660.2</v>
      </c>
      <c r="J72" s="43">
        <f>10660.2-870</f>
        <v>9790.2000000000007</v>
      </c>
      <c r="K72" s="28">
        <f t="shared" si="7"/>
        <v>178800.59999999998</v>
      </c>
      <c r="M72"/>
      <c r="N72"/>
      <c r="O72"/>
      <c r="P72"/>
      <c r="Q72"/>
      <c r="R72"/>
      <c r="S72"/>
    </row>
    <row r="73" spans="1:19" s="12" customFormat="1" x14ac:dyDescent="0.25">
      <c r="A73" s="29"/>
      <c r="B73" s="35"/>
      <c r="C73" s="36">
        <v>21400</v>
      </c>
      <c r="D73" s="37" t="s">
        <v>74</v>
      </c>
      <c r="E73" s="38"/>
      <c r="F73" s="39">
        <f t="shared" ref="F73" si="49">SUM(F74)</f>
        <v>1911245</v>
      </c>
      <c r="G73" s="39">
        <f t="shared" ref="G73:K73" si="50">SUM(G74)</f>
        <v>0</v>
      </c>
      <c r="H73" s="39">
        <f t="shared" si="50"/>
        <v>1911245</v>
      </c>
      <c r="I73" s="39">
        <f t="shared" si="50"/>
        <v>54796.5</v>
      </c>
      <c r="J73" s="39">
        <f t="shared" si="50"/>
        <v>402.5</v>
      </c>
      <c r="K73" s="39">
        <f t="shared" si="50"/>
        <v>1856448.5</v>
      </c>
      <c r="M73"/>
      <c r="N73"/>
      <c r="O73"/>
      <c r="P73"/>
      <c r="Q73"/>
      <c r="R73"/>
      <c r="S73"/>
    </row>
    <row r="74" spans="1:19" s="12" customFormat="1" ht="45" x14ac:dyDescent="0.25">
      <c r="A74" s="29"/>
      <c r="B74" s="40"/>
      <c r="C74" s="35"/>
      <c r="D74" s="41">
        <v>21401</v>
      </c>
      <c r="E74" s="42" t="s">
        <v>75</v>
      </c>
      <c r="F74" s="43">
        <v>1911245</v>
      </c>
      <c r="G74" s="43"/>
      <c r="H74" s="43">
        <f t="shared" ref="H74" si="51">F74+G74</f>
        <v>1911245</v>
      </c>
      <c r="I74" s="43">
        <v>54796.5</v>
      </c>
      <c r="J74" s="43">
        <v>402.5</v>
      </c>
      <c r="K74" s="28">
        <f t="shared" si="7"/>
        <v>1856448.5</v>
      </c>
      <c r="M74"/>
      <c r="N74"/>
      <c r="O74"/>
      <c r="P74"/>
      <c r="Q74"/>
      <c r="R74"/>
      <c r="S74"/>
    </row>
    <row r="75" spans="1:19" s="12" customFormat="1" x14ac:dyDescent="0.25">
      <c r="A75" s="29"/>
      <c r="B75" s="35"/>
      <c r="C75" s="36">
        <v>21500</v>
      </c>
      <c r="D75" s="37" t="s">
        <v>76</v>
      </c>
      <c r="E75" s="38"/>
      <c r="F75" s="39">
        <f t="shared" ref="F75:K75" si="52">SUM(F76)</f>
        <v>271652.21000000002</v>
      </c>
      <c r="G75" s="39">
        <f t="shared" si="52"/>
        <v>0</v>
      </c>
      <c r="H75" s="39">
        <f t="shared" si="52"/>
        <v>271652.21000000002</v>
      </c>
      <c r="I75" s="39">
        <f t="shared" si="52"/>
        <v>35620.76</v>
      </c>
      <c r="J75" s="39">
        <f t="shared" si="52"/>
        <v>0</v>
      </c>
      <c r="K75" s="39">
        <f t="shared" si="52"/>
        <v>236031.45</v>
      </c>
      <c r="M75"/>
      <c r="N75"/>
      <c r="O75"/>
      <c r="P75"/>
      <c r="Q75"/>
      <c r="R75"/>
      <c r="S75"/>
    </row>
    <row r="76" spans="1:19" s="12" customFormat="1" x14ac:dyDescent="0.25">
      <c r="A76" s="29"/>
      <c r="B76" s="40"/>
      <c r="C76" s="35"/>
      <c r="D76" s="41">
        <v>21501</v>
      </c>
      <c r="E76" s="42" t="s">
        <v>77</v>
      </c>
      <c r="F76" s="43">
        <v>271652.21000000002</v>
      </c>
      <c r="G76" s="43"/>
      <c r="H76" s="43">
        <f t="shared" ref="H76" si="53">F76+G76</f>
        <v>271652.21000000002</v>
      </c>
      <c r="I76" s="43">
        <v>35620.76</v>
      </c>
      <c r="J76" s="43"/>
      <c r="K76" s="28">
        <f t="shared" si="7"/>
        <v>236031.45</v>
      </c>
      <c r="M76"/>
      <c r="N76"/>
      <c r="O76"/>
      <c r="P76"/>
      <c r="Q76"/>
      <c r="R76"/>
      <c r="S76"/>
    </row>
    <row r="77" spans="1:19" s="12" customFormat="1" x14ac:dyDescent="0.25">
      <c r="A77" s="29"/>
      <c r="B77" s="35"/>
      <c r="C77" s="36">
        <v>21600</v>
      </c>
      <c r="D77" s="37" t="s">
        <v>78</v>
      </c>
      <c r="E77" s="38"/>
      <c r="F77" s="39">
        <f t="shared" ref="F77:K77" si="54">SUM(F78)</f>
        <v>919274.96</v>
      </c>
      <c r="G77" s="39">
        <f t="shared" si="54"/>
        <v>0</v>
      </c>
      <c r="H77" s="39">
        <f t="shared" si="54"/>
        <v>919274.96</v>
      </c>
      <c r="I77" s="39">
        <f t="shared" si="54"/>
        <v>172222.48</v>
      </c>
      <c r="J77" s="39">
        <f t="shared" si="54"/>
        <v>64666.050000000017</v>
      </c>
      <c r="K77" s="39">
        <f t="shared" si="54"/>
        <v>747052.48</v>
      </c>
      <c r="M77"/>
      <c r="N77"/>
      <c r="O77"/>
      <c r="P77"/>
      <c r="Q77"/>
      <c r="R77"/>
      <c r="S77"/>
    </row>
    <row r="78" spans="1:19" s="12" customFormat="1" x14ac:dyDescent="0.25">
      <c r="A78" s="29"/>
      <c r="B78" s="40"/>
      <c r="C78" s="35"/>
      <c r="D78" s="41">
        <v>21601</v>
      </c>
      <c r="E78" s="42" t="s">
        <v>78</v>
      </c>
      <c r="F78" s="43">
        <v>919274.96</v>
      </c>
      <c r="G78" s="43"/>
      <c r="H78" s="43">
        <f t="shared" ref="H78" si="55">F78+G78</f>
        <v>919274.96</v>
      </c>
      <c r="I78" s="43">
        <v>172222.48</v>
      </c>
      <c r="J78" s="43">
        <f>172222.48-107556.43</f>
        <v>64666.050000000017</v>
      </c>
      <c r="K78" s="28">
        <f t="shared" si="7"/>
        <v>747052.48</v>
      </c>
      <c r="M78"/>
      <c r="N78"/>
      <c r="O78"/>
      <c r="P78"/>
      <c r="Q78"/>
      <c r="R78"/>
      <c r="S78"/>
    </row>
    <row r="79" spans="1:19" s="12" customFormat="1" x14ac:dyDescent="0.25">
      <c r="A79" s="29"/>
      <c r="B79" s="35"/>
      <c r="C79" s="36">
        <v>21800</v>
      </c>
      <c r="D79" s="37" t="s">
        <v>79</v>
      </c>
      <c r="E79" s="38"/>
      <c r="F79" s="39">
        <f t="shared" ref="F79" si="56">SUM(F80)</f>
        <v>19423.2</v>
      </c>
      <c r="G79" s="39">
        <f t="shared" ref="G79:K79" si="57">SUM(G80)</f>
        <v>0</v>
      </c>
      <c r="H79" s="39">
        <f t="shared" si="57"/>
        <v>19423.2</v>
      </c>
      <c r="I79" s="39">
        <f t="shared" si="57"/>
        <v>7956.36</v>
      </c>
      <c r="J79" s="39">
        <f t="shared" si="57"/>
        <v>0</v>
      </c>
      <c r="K79" s="39">
        <f t="shared" si="57"/>
        <v>11466.84</v>
      </c>
      <c r="M79"/>
      <c r="N79"/>
      <c r="O79"/>
      <c r="P79"/>
      <c r="Q79"/>
      <c r="R79"/>
      <c r="S79"/>
    </row>
    <row r="80" spans="1:19" s="12" customFormat="1" x14ac:dyDescent="0.25">
      <c r="A80" s="29"/>
      <c r="B80" s="40"/>
      <c r="C80" s="35"/>
      <c r="D80" s="41">
        <v>21801</v>
      </c>
      <c r="E80" s="42" t="s">
        <v>80</v>
      </c>
      <c r="F80" s="43">
        <v>19423.2</v>
      </c>
      <c r="G80" s="43"/>
      <c r="H80" s="43">
        <f t="shared" ref="H80" si="58">F80+G80</f>
        <v>19423.2</v>
      </c>
      <c r="I80" s="43">
        <v>7956.36</v>
      </c>
      <c r="J80" s="43"/>
      <c r="K80" s="28">
        <f t="shared" si="7"/>
        <v>11466.84</v>
      </c>
      <c r="M80"/>
      <c r="N80"/>
      <c r="O80"/>
      <c r="P80"/>
      <c r="Q80"/>
      <c r="R80"/>
      <c r="S80"/>
    </row>
    <row r="81" spans="1:19" s="12" customFormat="1" x14ac:dyDescent="0.25">
      <c r="A81" s="29"/>
      <c r="B81" s="30">
        <v>22000</v>
      </c>
      <c r="C81" s="31" t="s">
        <v>81</v>
      </c>
      <c r="D81" s="32"/>
      <c r="E81" s="33"/>
      <c r="F81" s="34">
        <f t="shared" ref="F81:K81" si="59">SUM(F82,F86)</f>
        <v>346426.62</v>
      </c>
      <c r="G81" s="34">
        <f t="shared" si="59"/>
        <v>0</v>
      </c>
      <c r="H81" s="34">
        <f t="shared" si="59"/>
        <v>346426.62</v>
      </c>
      <c r="I81" s="34">
        <f t="shared" si="59"/>
        <v>51921.759999999995</v>
      </c>
      <c r="J81" s="34">
        <f t="shared" si="59"/>
        <v>11485.53</v>
      </c>
      <c r="K81" s="34">
        <f t="shared" si="59"/>
        <v>294504.86</v>
      </c>
      <c r="M81"/>
      <c r="N81"/>
      <c r="O81"/>
      <c r="P81"/>
      <c r="Q81"/>
      <c r="R81"/>
      <c r="S81"/>
    </row>
    <row r="82" spans="1:19" s="12" customFormat="1" x14ac:dyDescent="0.25">
      <c r="A82" s="29"/>
      <c r="B82" s="35"/>
      <c r="C82" s="36">
        <v>22100</v>
      </c>
      <c r="D82" s="37" t="s">
        <v>82</v>
      </c>
      <c r="E82" s="38"/>
      <c r="F82" s="39">
        <f t="shared" ref="F82" si="60">SUM(F83:F85)</f>
        <v>341315.22</v>
      </c>
      <c r="G82" s="39">
        <f t="shared" ref="G82:K82" si="61">SUM(G83:G85)</f>
        <v>0</v>
      </c>
      <c r="H82" s="39">
        <f t="shared" si="61"/>
        <v>341315.22</v>
      </c>
      <c r="I82" s="39">
        <f t="shared" si="61"/>
        <v>51921.759999999995</v>
      </c>
      <c r="J82" s="39">
        <f t="shared" si="61"/>
        <v>11485.53</v>
      </c>
      <c r="K82" s="39">
        <f t="shared" si="61"/>
        <v>289393.45999999996</v>
      </c>
      <c r="M82"/>
      <c r="N82"/>
      <c r="O82"/>
      <c r="P82"/>
      <c r="Q82"/>
      <c r="R82"/>
      <c r="S82"/>
    </row>
    <row r="83" spans="1:19" s="12" customFormat="1" x14ac:dyDescent="0.25">
      <c r="A83" s="29"/>
      <c r="B83" s="40"/>
      <c r="C83" s="35"/>
      <c r="D83" s="41">
        <v>22104</v>
      </c>
      <c r="E83" s="42" t="s">
        <v>83</v>
      </c>
      <c r="F83" s="43">
        <v>36956.400000000001</v>
      </c>
      <c r="G83" s="43"/>
      <c r="H83" s="43">
        <f t="shared" ref="H83:H85" si="62">F83+G83</f>
        <v>36956.400000000001</v>
      </c>
      <c r="I83" s="43">
        <v>8555.86</v>
      </c>
      <c r="J83" s="43">
        <v>8555.86</v>
      </c>
      <c r="K83" s="28">
        <f t="shared" ref="K83:K143" si="63">H83-I83</f>
        <v>28400.54</v>
      </c>
      <c r="M83"/>
      <c r="N83"/>
      <c r="O83"/>
      <c r="P83"/>
      <c r="Q83"/>
      <c r="R83"/>
      <c r="S83"/>
    </row>
    <row r="84" spans="1:19" s="12" customFormat="1" x14ac:dyDescent="0.25">
      <c r="A84" s="29"/>
      <c r="B84" s="40"/>
      <c r="C84" s="35"/>
      <c r="D84" s="41">
        <v>22105</v>
      </c>
      <c r="E84" s="42" t="s">
        <v>84</v>
      </c>
      <c r="F84" s="43">
        <v>266511.46999999997</v>
      </c>
      <c r="G84" s="43"/>
      <c r="H84" s="43">
        <f t="shared" si="62"/>
        <v>266511.46999999997</v>
      </c>
      <c r="I84" s="43">
        <v>34967.699999999997</v>
      </c>
      <c r="J84" s="43">
        <v>1046.92</v>
      </c>
      <c r="K84" s="28">
        <f t="shared" si="63"/>
        <v>231543.76999999996</v>
      </c>
      <c r="M84"/>
      <c r="N84"/>
      <c r="O84"/>
      <c r="P84"/>
      <c r="Q84"/>
      <c r="R84"/>
      <c r="S84"/>
    </row>
    <row r="85" spans="1:19" s="12" customFormat="1" x14ac:dyDescent="0.25">
      <c r="A85" s="29"/>
      <c r="B85" s="40"/>
      <c r="C85" s="35"/>
      <c r="D85" s="41">
        <v>22106</v>
      </c>
      <c r="E85" s="42" t="s">
        <v>85</v>
      </c>
      <c r="F85" s="43">
        <v>37847.35</v>
      </c>
      <c r="G85" s="43"/>
      <c r="H85" s="43">
        <f t="shared" si="62"/>
        <v>37847.35</v>
      </c>
      <c r="I85" s="43">
        <v>8398.2000000000007</v>
      </c>
      <c r="J85" s="43">
        <v>1882.75</v>
      </c>
      <c r="K85" s="28">
        <f t="shared" si="63"/>
        <v>29449.149999999998</v>
      </c>
      <c r="M85"/>
      <c r="N85"/>
      <c r="O85"/>
      <c r="P85"/>
      <c r="Q85"/>
      <c r="R85"/>
      <c r="S85"/>
    </row>
    <row r="86" spans="1:19" s="12" customFormat="1" x14ac:dyDescent="0.25">
      <c r="A86" s="29"/>
      <c r="B86" s="35"/>
      <c r="C86" s="36">
        <v>22300</v>
      </c>
      <c r="D86" s="37" t="s">
        <v>86</v>
      </c>
      <c r="E86" s="38"/>
      <c r="F86" s="39">
        <f t="shared" ref="F86:K86" si="64">SUM(F87)</f>
        <v>5111.3999999999996</v>
      </c>
      <c r="G86" s="39">
        <f t="shared" si="64"/>
        <v>0</v>
      </c>
      <c r="H86" s="39">
        <f t="shared" si="64"/>
        <v>5111.3999999999996</v>
      </c>
      <c r="I86" s="39">
        <f t="shared" si="64"/>
        <v>0</v>
      </c>
      <c r="J86" s="39">
        <f t="shared" si="64"/>
        <v>0</v>
      </c>
      <c r="K86" s="39">
        <f t="shared" si="64"/>
        <v>5111.3999999999996</v>
      </c>
      <c r="M86"/>
      <c r="N86"/>
      <c r="O86"/>
      <c r="P86"/>
      <c r="Q86"/>
      <c r="R86"/>
      <c r="S86"/>
    </row>
    <row r="87" spans="1:19" s="12" customFormat="1" ht="30" x14ac:dyDescent="0.25">
      <c r="A87" s="29"/>
      <c r="B87" s="40"/>
      <c r="C87" s="49"/>
      <c r="D87" s="50">
        <v>22301</v>
      </c>
      <c r="E87" s="51" t="s">
        <v>86</v>
      </c>
      <c r="F87" s="43">
        <v>5111.3999999999996</v>
      </c>
      <c r="G87" s="43"/>
      <c r="H87" s="43">
        <f t="shared" ref="H87" si="65">F87+G87</f>
        <v>5111.3999999999996</v>
      </c>
      <c r="I87" s="43"/>
      <c r="J87" s="43"/>
      <c r="K87" s="28">
        <f t="shared" si="63"/>
        <v>5111.3999999999996</v>
      </c>
      <c r="M87"/>
      <c r="N87"/>
      <c r="O87"/>
      <c r="P87"/>
      <c r="Q87"/>
      <c r="R87"/>
      <c r="S87"/>
    </row>
    <row r="88" spans="1:19" s="12" customFormat="1" x14ac:dyDescent="0.25">
      <c r="A88" s="29"/>
      <c r="B88" s="30">
        <v>24000</v>
      </c>
      <c r="C88" s="31" t="s">
        <v>87</v>
      </c>
      <c r="D88" s="32"/>
      <c r="E88" s="33"/>
      <c r="F88" s="34">
        <f>SUM(F97,F99,F101,F103)</f>
        <v>862682.84000000008</v>
      </c>
      <c r="G88" s="34">
        <f t="shared" ref="G88:K88" si="66">SUM(G89,G91,G93,G95,G97,G99,G101,G103)</f>
        <v>0</v>
      </c>
      <c r="H88" s="34">
        <f t="shared" si="66"/>
        <v>862682.84000000008</v>
      </c>
      <c r="I88" s="34">
        <f t="shared" si="66"/>
        <v>61367.460000000006</v>
      </c>
      <c r="J88" s="34">
        <f t="shared" si="66"/>
        <v>4286.7199999999993</v>
      </c>
      <c r="K88" s="34">
        <f t="shared" si="66"/>
        <v>801315.38000000012</v>
      </c>
      <c r="M88"/>
      <c r="N88"/>
      <c r="O88"/>
      <c r="P88"/>
      <c r="Q88"/>
      <c r="R88"/>
      <c r="S88"/>
    </row>
    <row r="89" spans="1:19" s="12" customFormat="1" hidden="1" x14ac:dyDescent="0.25">
      <c r="A89" s="29"/>
      <c r="B89" s="35"/>
      <c r="C89" s="36">
        <v>24200</v>
      </c>
      <c r="D89" s="37" t="s">
        <v>88</v>
      </c>
      <c r="E89" s="38"/>
      <c r="F89" s="39"/>
      <c r="G89" s="39">
        <f t="shared" ref="G89:K89" si="67">SUM(G90)</f>
        <v>0</v>
      </c>
      <c r="H89" s="39">
        <f t="shared" si="67"/>
        <v>0</v>
      </c>
      <c r="I89" s="39">
        <f t="shared" si="67"/>
        <v>0</v>
      </c>
      <c r="J89" s="39">
        <f t="shared" si="67"/>
        <v>0</v>
      </c>
      <c r="K89" s="39">
        <f t="shared" si="67"/>
        <v>0</v>
      </c>
      <c r="M89"/>
      <c r="N89"/>
      <c r="O89"/>
      <c r="P89"/>
      <c r="Q89"/>
      <c r="R89"/>
      <c r="S89"/>
    </row>
    <row r="90" spans="1:19" s="12" customFormat="1" hidden="1" x14ac:dyDescent="0.25">
      <c r="A90" s="29"/>
      <c r="B90" s="40"/>
      <c r="C90" s="35"/>
      <c r="D90" s="41">
        <v>24201</v>
      </c>
      <c r="E90" s="42" t="s">
        <v>88</v>
      </c>
      <c r="F90" s="43"/>
      <c r="G90" s="43"/>
      <c r="H90" s="43">
        <f t="shared" ref="H90:H143" si="68">F90+G90</f>
        <v>0</v>
      </c>
      <c r="I90" s="43"/>
      <c r="J90" s="43"/>
      <c r="K90" s="28">
        <f t="shared" si="63"/>
        <v>0</v>
      </c>
      <c r="M90"/>
      <c r="N90"/>
      <c r="O90"/>
      <c r="P90"/>
      <c r="Q90"/>
      <c r="R90"/>
      <c r="S90"/>
    </row>
    <row r="91" spans="1:19" s="12" customFormat="1" hidden="1" x14ac:dyDescent="0.25">
      <c r="A91" s="29"/>
      <c r="B91" s="35"/>
      <c r="C91" s="36">
        <v>24300</v>
      </c>
      <c r="D91" s="37" t="s">
        <v>89</v>
      </c>
      <c r="E91" s="38"/>
      <c r="F91" s="39"/>
      <c r="G91" s="39">
        <f t="shared" ref="G91:K91" si="69">SUM(G92)</f>
        <v>0</v>
      </c>
      <c r="H91" s="39">
        <f t="shared" si="69"/>
        <v>0</v>
      </c>
      <c r="I91" s="39">
        <f t="shared" si="69"/>
        <v>0</v>
      </c>
      <c r="J91" s="39">
        <f t="shared" si="69"/>
        <v>0</v>
      </c>
      <c r="K91" s="39">
        <f t="shared" si="69"/>
        <v>0</v>
      </c>
      <c r="M91"/>
      <c r="N91"/>
      <c r="O91"/>
      <c r="P91"/>
      <c r="Q91"/>
      <c r="R91"/>
      <c r="S91"/>
    </row>
    <row r="92" spans="1:19" s="12" customFormat="1" hidden="1" x14ac:dyDescent="0.25">
      <c r="A92" s="29"/>
      <c r="B92" s="40"/>
      <c r="C92" s="35"/>
      <c r="D92" s="41">
        <v>24301</v>
      </c>
      <c r="E92" s="42" t="s">
        <v>89</v>
      </c>
      <c r="F92" s="43"/>
      <c r="G92" s="43"/>
      <c r="H92" s="43">
        <f t="shared" si="68"/>
        <v>0</v>
      </c>
      <c r="I92" s="43"/>
      <c r="J92" s="43"/>
      <c r="K92" s="28">
        <f t="shared" si="63"/>
        <v>0</v>
      </c>
      <c r="M92"/>
      <c r="N92"/>
      <c r="O92"/>
      <c r="P92"/>
      <c r="Q92"/>
      <c r="R92"/>
      <c r="S92"/>
    </row>
    <row r="93" spans="1:19" s="12" customFormat="1" hidden="1" x14ac:dyDescent="0.25">
      <c r="A93" s="29"/>
      <c r="B93" s="35"/>
      <c r="C93" s="36">
        <v>24400</v>
      </c>
      <c r="D93" s="37" t="s">
        <v>90</v>
      </c>
      <c r="E93" s="38"/>
      <c r="F93" s="39"/>
      <c r="G93" s="39">
        <f t="shared" ref="G93:K93" si="70">SUM(G94)</f>
        <v>0</v>
      </c>
      <c r="H93" s="39">
        <f t="shared" si="70"/>
        <v>0</v>
      </c>
      <c r="I93" s="39">
        <f t="shared" si="70"/>
        <v>0</v>
      </c>
      <c r="J93" s="39">
        <f t="shared" si="70"/>
        <v>0</v>
      </c>
      <c r="K93" s="39">
        <f t="shared" si="70"/>
        <v>0</v>
      </c>
      <c r="M93"/>
      <c r="N93"/>
      <c r="O93"/>
      <c r="P93"/>
      <c r="Q93"/>
      <c r="R93"/>
      <c r="S93"/>
    </row>
    <row r="94" spans="1:19" s="12" customFormat="1" hidden="1" x14ac:dyDescent="0.25">
      <c r="A94" s="29"/>
      <c r="B94" s="40"/>
      <c r="C94" s="35"/>
      <c r="D94" s="41">
        <v>24401</v>
      </c>
      <c r="E94" s="42" t="s">
        <v>90</v>
      </c>
      <c r="F94" s="43"/>
      <c r="G94" s="43"/>
      <c r="H94" s="43">
        <f t="shared" si="68"/>
        <v>0</v>
      </c>
      <c r="I94" s="43"/>
      <c r="J94" s="43"/>
      <c r="K94" s="28">
        <f t="shared" si="63"/>
        <v>0</v>
      </c>
      <c r="M94"/>
      <c r="N94"/>
      <c r="O94"/>
      <c r="P94"/>
      <c r="Q94"/>
      <c r="R94"/>
      <c r="S94"/>
    </row>
    <row r="95" spans="1:19" s="12" customFormat="1" hidden="1" x14ac:dyDescent="0.25">
      <c r="A95" s="29"/>
      <c r="B95" s="35"/>
      <c r="C95" s="36">
        <v>24500</v>
      </c>
      <c r="D95" s="37" t="s">
        <v>91</v>
      </c>
      <c r="E95" s="38"/>
      <c r="F95" s="39"/>
      <c r="G95" s="39">
        <f t="shared" ref="G95:K95" si="71">SUM(G96)</f>
        <v>0</v>
      </c>
      <c r="H95" s="39">
        <f t="shared" si="71"/>
        <v>0</v>
      </c>
      <c r="I95" s="39">
        <f t="shared" si="71"/>
        <v>0</v>
      </c>
      <c r="J95" s="39">
        <f t="shared" si="71"/>
        <v>0</v>
      </c>
      <c r="K95" s="39">
        <f t="shared" si="71"/>
        <v>0</v>
      </c>
      <c r="M95"/>
      <c r="N95"/>
      <c r="O95"/>
      <c r="P95"/>
      <c r="Q95"/>
      <c r="R95"/>
      <c r="S95"/>
    </row>
    <row r="96" spans="1:19" s="12" customFormat="1" hidden="1" x14ac:dyDescent="0.25">
      <c r="A96" s="29"/>
      <c r="B96" s="40"/>
      <c r="C96" s="35"/>
      <c r="D96" s="41">
        <v>24501</v>
      </c>
      <c r="E96" s="42" t="s">
        <v>91</v>
      </c>
      <c r="F96" s="43"/>
      <c r="G96" s="43"/>
      <c r="H96" s="43">
        <f t="shared" si="68"/>
        <v>0</v>
      </c>
      <c r="I96" s="43"/>
      <c r="J96" s="43"/>
      <c r="K96" s="28">
        <f t="shared" si="63"/>
        <v>0</v>
      </c>
      <c r="M96"/>
      <c r="N96"/>
      <c r="O96"/>
      <c r="P96"/>
      <c r="Q96"/>
      <c r="R96"/>
      <c r="S96"/>
    </row>
    <row r="97" spans="1:19" s="12" customFormat="1" x14ac:dyDescent="0.25">
      <c r="A97" s="29"/>
      <c r="B97" s="35"/>
      <c r="C97" s="36">
        <v>24600</v>
      </c>
      <c r="D97" s="37" t="s">
        <v>92</v>
      </c>
      <c r="E97" s="38"/>
      <c r="F97" s="39">
        <f t="shared" ref="F97:K97" si="72">SUM(F98)</f>
        <v>433403.52</v>
      </c>
      <c r="G97" s="39">
        <f t="shared" si="72"/>
        <v>0</v>
      </c>
      <c r="H97" s="39">
        <f t="shared" si="72"/>
        <v>433403.52</v>
      </c>
      <c r="I97" s="39">
        <f t="shared" si="72"/>
        <v>22358.48</v>
      </c>
      <c r="J97" s="39">
        <f t="shared" si="72"/>
        <v>1770.1899999999987</v>
      </c>
      <c r="K97" s="39">
        <f t="shared" si="72"/>
        <v>411045.04000000004</v>
      </c>
      <c r="M97"/>
      <c r="N97"/>
      <c r="O97"/>
      <c r="P97"/>
      <c r="Q97"/>
      <c r="R97"/>
      <c r="S97"/>
    </row>
    <row r="98" spans="1:19" s="12" customFormat="1" x14ac:dyDescent="0.25">
      <c r="A98" s="29"/>
      <c r="B98" s="40"/>
      <c r="C98" s="35"/>
      <c r="D98" s="41">
        <v>24601</v>
      </c>
      <c r="E98" s="42" t="s">
        <v>93</v>
      </c>
      <c r="F98" s="43">
        <v>433403.52</v>
      </c>
      <c r="G98" s="43"/>
      <c r="H98" s="43">
        <f t="shared" ref="H98" si="73">F98+G98</f>
        <v>433403.52</v>
      </c>
      <c r="I98" s="43">
        <v>22358.48</v>
      </c>
      <c r="J98" s="43">
        <f>22358.48-20588.29</f>
        <v>1770.1899999999987</v>
      </c>
      <c r="K98" s="28">
        <f t="shared" si="63"/>
        <v>411045.04000000004</v>
      </c>
      <c r="M98"/>
      <c r="N98"/>
      <c r="O98"/>
      <c r="P98"/>
      <c r="Q98"/>
      <c r="R98"/>
      <c r="S98"/>
    </row>
    <row r="99" spans="1:19" s="12" customFormat="1" x14ac:dyDescent="0.25">
      <c r="A99" s="29"/>
      <c r="B99" s="35"/>
      <c r="C99" s="36">
        <v>24700</v>
      </c>
      <c r="D99" s="37" t="s">
        <v>94</v>
      </c>
      <c r="E99" s="38"/>
      <c r="F99" s="39">
        <f t="shared" ref="F99" si="74">SUM(F100)</f>
        <v>15334.13</v>
      </c>
      <c r="G99" s="39">
        <f t="shared" ref="G99:K99" si="75">SUM(G100)</f>
        <v>0</v>
      </c>
      <c r="H99" s="39">
        <f t="shared" si="75"/>
        <v>15334.13</v>
      </c>
      <c r="I99" s="39">
        <f t="shared" si="75"/>
        <v>0</v>
      </c>
      <c r="J99" s="39">
        <f t="shared" si="75"/>
        <v>0</v>
      </c>
      <c r="K99" s="39">
        <f t="shared" si="75"/>
        <v>15334.13</v>
      </c>
      <c r="M99"/>
      <c r="N99"/>
      <c r="O99"/>
      <c r="P99"/>
      <c r="Q99"/>
      <c r="R99"/>
      <c r="S99"/>
    </row>
    <row r="100" spans="1:19" s="12" customFormat="1" x14ac:dyDescent="0.25">
      <c r="A100" s="29"/>
      <c r="B100" s="40"/>
      <c r="C100" s="35"/>
      <c r="D100" s="41">
        <v>24701</v>
      </c>
      <c r="E100" s="42" t="s">
        <v>94</v>
      </c>
      <c r="F100" s="43">
        <v>15334.13</v>
      </c>
      <c r="G100" s="43"/>
      <c r="H100" s="43">
        <f t="shared" ref="H100" si="76">F100+G100</f>
        <v>15334.13</v>
      </c>
      <c r="I100" s="43"/>
      <c r="J100" s="43"/>
      <c r="K100" s="28">
        <f t="shared" si="63"/>
        <v>15334.13</v>
      </c>
      <c r="M100"/>
      <c r="N100"/>
      <c r="O100"/>
      <c r="P100"/>
      <c r="Q100"/>
      <c r="R100"/>
      <c r="S100"/>
    </row>
    <row r="101" spans="1:19" s="12" customFormat="1" x14ac:dyDescent="0.25">
      <c r="A101" s="29"/>
      <c r="B101" s="35"/>
      <c r="C101" s="36">
        <v>24800</v>
      </c>
      <c r="D101" s="37" t="s">
        <v>95</v>
      </c>
      <c r="E101" s="38"/>
      <c r="F101" s="39">
        <f t="shared" ref="F101:K101" si="77">SUM(F102)</f>
        <v>25556.880000000001</v>
      </c>
      <c r="G101" s="39">
        <f t="shared" si="77"/>
        <v>0</v>
      </c>
      <c r="H101" s="39">
        <f t="shared" si="77"/>
        <v>25556.880000000001</v>
      </c>
      <c r="I101" s="39">
        <f t="shared" si="77"/>
        <v>0</v>
      </c>
      <c r="J101" s="39">
        <f t="shared" si="77"/>
        <v>0</v>
      </c>
      <c r="K101" s="39">
        <f t="shared" si="77"/>
        <v>25556.880000000001</v>
      </c>
      <c r="M101"/>
      <c r="N101"/>
      <c r="O101"/>
      <c r="P101"/>
      <c r="Q101"/>
      <c r="R101"/>
      <c r="S101"/>
    </row>
    <row r="102" spans="1:19" s="12" customFormat="1" x14ac:dyDescent="0.25">
      <c r="A102" s="29"/>
      <c r="B102" s="40"/>
      <c r="C102" s="35"/>
      <c r="D102" s="41">
        <v>24801</v>
      </c>
      <c r="E102" s="42" t="s">
        <v>95</v>
      </c>
      <c r="F102" s="43">
        <v>25556.880000000001</v>
      </c>
      <c r="G102" s="43"/>
      <c r="H102" s="43">
        <f t="shared" ref="H102" si="78">F102+G102</f>
        <v>25556.880000000001</v>
      </c>
      <c r="I102" s="43"/>
      <c r="J102" s="43"/>
      <c r="K102" s="28">
        <f t="shared" si="63"/>
        <v>25556.880000000001</v>
      </c>
      <c r="M102"/>
      <c r="N102"/>
      <c r="O102"/>
      <c r="P102"/>
      <c r="Q102"/>
      <c r="R102"/>
      <c r="S102"/>
    </row>
    <row r="103" spans="1:19" s="12" customFormat="1" x14ac:dyDescent="0.25">
      <c r="A103" s="29"/>
      <c r="B103" s="35"/>
      <c r="C103" s="36">
        <v>24900</v>
      </c>
      <c r="D103" s="37" t="s">
        <v>96</v>
      </c>
      <c r="E103" s="38"/>
      <c r="F103" s="39">
        <f t="shared" ref="F103:K103" si="79">SUM(F104)</f>
        <v>388388.31</v>
      </c>
      <c r="G103" s="39">
        <f t="shared" si="79"/>
        <v>0</v>
      </c>
      <c r="H103" s="39">
        <f t="shared" si="79"/>
        <v>388388.31</v>
      </c>
      <c r="I103" s="39">
        <f t="shared" si="79"/>
        <v>39008.980000000003</v>
      </c>
      <c r="J103" s="39">
        <f t="shared" si="79"/>
        <v>2516.5300000000002</v>
      </c>
      <c r="K103" s="39">
        <f t="shared" si="79"/>
        <v>349379.33</v>
      </c>
      <c r="M103"/>
      <c r="N103"/>
      <c r="O103"/>
      <c r="P103"/>
      <c r="Q103"/>
      <c r="R103"/>
      <c r="S103"/>
    </row>
    <row r="104" spans="1:19" s="12" customFormat="1" ht="30" x14ac:dyDescent="0.25">
      <c r="A104" s="29"/>
      <c r="B104" s="40"/>
      <c r="C104" s="35"/>
      <c r="D104" s="41">
        <v>24901</v>
      </c>
      <c r="E104" s="42" t="s">
        <v>96</v>
      </c>
      <c r="F104" s="43">
        <v>388388.31</v>
      </c>
      <c r="G104" s="43"/>
      <c r="H104" s="43">
        <f t="shared" ref="H104" si="80">F104+G104</f>
        <v>388388.31</v>
      </c>
      <c r="I104" s="43">
        <v>39008.980000000003</v>
      </c>
      <c r="J104" s="43">
        <v>2516.5300000000002</v>
      </c>
      <c r="K104" s="28">
        <f t="shared" si="63"/>
        <v>349379.33</v>
      </c>
      <c r="M104"/>
      <c r="N104"/>
      <c r="O104"/>
      <c r="P104"/>
      <c r="Q104"/>
      <c r="R104"/>
      <c r="S104"/>
    </row>
    <row r="105" spans="1:19" s="12" customFormat="1" x14ac:dyDescent="0.25">
      <c r="A105" s="29"/>
      <c r="B105" s="30">
        <v>25000</v>
      </c>
      <c r="C105" s="31" t="s">
        <v>97</v>
      </c>
      <c r="D105" s="32"/>
      <c r="E105" s="33"/>
      <c r="F105" s="34">
        <f t="shared" ref="F105:K105" si="81">SUM(F106,F108,F110)</f>
        <v>235277.77000000002</v>
      </c>
      <c r="G105" s="34">
        <f t="shared" si="81"/>
        <v>0</v>
      </c>
      <c r="H105" s="34">
        <f t="shared" si="81"/>
        <v>235277.77000000002</v>
      </c>
      <c r="I105" s="34">
        <f t="shared" si="81"/>
        <v>84656.920000000013</v>
      </c>
      <c r="J105" s="34">
        <f t="shared" si="81"/>
        <v>2233.4899999999998</v>
      </c>
      <c r="K105" s="34">
        <f t="shared" si="81"/>
        <v>150620.84999999998</v>
      </c>
      <c r="M105"/>
      <c r="N105"/>
      <c r="O105"/>
      <c r="P105"/>
      <c r="Q105"/>
      <c r="R105"/>
      <c r="S105"/>
    </row>
    <row r="106" spans="1:19" s="12" customFormat="1" x14ac:dyDescent="0.25">
      <c r="A106" s="29"/>
      <c r="B106" s="35"/>
      <c r="C106" s="36">
        <v>25300</v>
      </c>
      <c r="D106" s="37" t="s">
        <v>98</v>
      </c>
      <c r="E106" s="38"/>
      <c r="F106" s="39">
        <f t="shared" ref="F106:K106" si="82">SUM(F107)</f>
        <v>102150.25</v>
      </c>
      <c r="G106" s="39">
        <f t="shared" si="82"/>
        <v>0</v>
      </c>
      <c r="H106" s="39">
        <f t="shared" si="82"/>
        <v>102150.25</v>
      </c>
      <c r="I106" s="39">
        <f t="shared" si="82"/>
        <v>47476.800000000003</v>
      </c>
      <c r="J106" s="39">
        <f t="shared" si="82"/>
        <v>0</v>
      </c>
      <c r="K106" s="39">
        <f t="shared" si="82"/>
        <v>54673.45</v>
      </c>
      <c r="M106"/>
      <c r="N106"/>
      <c r="O106"/>
      <c r="P106"/>
      <c r="Q106"/>
      <c r="R106"/>
      <c r="S106"/>
    </row>
    <row r="107" spans="1:19" s="12" customFormat="1" x14ac:dyDescent="0.25">
      <c r="A107" s="29"/>
      <c r="B107" s="40"/>
      <c r="C107" s="35"/>
      <c r="D107" s="41">
        <v>25301</v>
      </c>
      <c r="E107" s="42" t="s">
        <v>98</v>
      </c>
      <c r="F107" s="43">
        <v>102150.25</v>
      </c>
      <c r="G107" s="43"/>
      <c r="H107" s="43">
        <f t="shared" ref="H107" si="83">F107+G107</f>
        <v>102150.25</v>
      </c>
      <c r="I107" s="43">
        <v>47476.800000000003</v>
      </c>
      <c r="J107" s="43"/>
      <c r="K107" s="28">
        <f t="shared" si="63"/>
        <v>54673.45</v>
      </c>
      <c r="M107"/>
      <c r="N107"/>
      <c r="O107"/>
      <c r="P107"/>
      <c r="Q107"/>
      <c r="R107"/>
      <c r="S107"/>
    </row>
    <row r="108" spans="1:19" s="12" customFormat="1" x14ac:dyDescent="0.25">
      <c r="A108" s="29"/>
      <c r="B108" s="35"/>
      <c r="C108" s="36">
        <v>25400</v>
      </c>
      <c r="D108" s="37" t="s">
        <v>99</v>
      </c>
      <c r="E108" s="38"/>
      <c r="F108" s="39">
        <f t="shared" ref="F108:K108" si="84">SUM(F109)</f>
        <v>112604.76</v>
      </c>
      <c r="G108" s="39">
        <f t="shared" si="84"/>
        <v>0</v>
      </c>
      <c r="H108" s="39">
        <f t="shared" si="84"/>
        <v>112604.76</v>
      </c>
      <c r="I108" s="39">
        <f t="shared" si="84"/>
        <v>34467.160000000003</v>
      </c>
      <c r="J108" s="39">
        <f t="shared" si="84"/>
        <v>0</v>
      </c>
      <c r="K108" s="39">
        <f t="shared" si="84"/>
        <v>78137.599999999991</v>
      </c>
      <c r="M108"/>
      <c r="N108"/>
      <c r="O108"/>
      <c r="P108"/>
      <c r="Q108"/>
      <c r="R108"/>
      <c r="S108"/>
    </row>
    <row r="109" spans="1:19" s="12" customFormat="1" ht="30" x14ac:dyDescent="0.25">
      <c r="A109" s="29"/>
      <c r="B109" s="40"/>
      <c r="C109" s="35"/>
      <c r="D109" s="41">
        <v>25401</v>
      </c>
      <c r="E109" s="42" t="s">
        <v>99</v>
      </c>
      <c r="F109" s="43">
        <v>112604.76</v>
      </c>
      <c r="G109" s="43"/>
      <c r="H109" s="43">
        <f t="shared" ref="H109" si="85">F109+G109</f>
        <v>112604.76</v>
      </c>
      <c r="I109" s="43">
        <v>34467.160000000003</v>
      </c>
      <c r="J109" s="43"/>
      <c r="K109" s="28">
        <f t="shared" si="63"/>
        <v>78137.599999999991</v>
      </c>
      <c r="M109"/>
      <c r="N109"/>
      <c r="O109"/>
      <c r="P109"/>
      <c r="Q109"/>
      <c r="R109"/>
      <c r="S109"/>
    </row>
    <row r="110" spans="1:19" s="12" customFormat="1" x14ac:dyDescent="0.25">
      <c r="A110" s="29"/>
      <c r="B110" s="35"/>
      <c r="C110" s="36">
        <v>25500</v>
      </c>
      <c r="D110" s="37" t="s">
        <v>100</v>
      </c>
      <c r="E110" s="38"/>
      <c r="F110" s="39">
        <f t="shared" ref="F110:K110" si="86">SUM(F111)</f>
        <v>20522.759999999998</v>
      </c>
      <c r="G110" s="39">
        <f t="shared" si="86"/>
        <v>0</v>
      </c>
      <c r="H110" s="39">
        <f t="shared" si="86"/>
        <v>20522.759999999998</v>
      </c>
      <c r="I110" s="39">
        <f t="shared" si="86"/>
        <v>2712.96</v>
      </c>
      <c r="J110" s="39">
        <f t="shared" si="86"/>
        <v>2233.4899999999998</v>
      </c>
      <c r="K110" s="39">
        <f t="shared" si="86"/>
        <v>17809.8</v>
      </c>
      <c r="M110"/>
      <c r="N110"/>
      <c r="O110"/>
      <c r="P110"/>
      <c r="Q110"/>
      <c r="R110"/>
      <c r="S110"/>
    </row>
    <row r="111" spans="1:19" s="12" customFormat="1" ht="30" x14ac:dyDescent="0.25">
      <c r="A111" s="29"/>
      <c r="B111" s="40"/>
      <c r="C111" s="35"/>
      <c r="D111" s="41">
        <v>25501</v>
      </c>
      <c r="E111" s="42" t="s">
        <v>100</v>
      </c>
      <c r="F111" s="43">
        <v>20522.759999999998</v>
      </c>
      <c r="G111" s="43"/>
      <c r="H111" s="43">
        <f t="shared" ref="H111" si="87">F111+G111</f>
        <v>20522.759999999998</v>
      </c>
      <c r="I111" s="43">
        <v>2712.96</v>
      </c>
      <c r="J111" s="43">
        <f>2712.96-479.47</f>
        <v>2233.4899999999998</v>
      </c>
      <c r="K111" s="28">
        <f t="shared" si="63"/>
        <v>17809.8</v>
      </c>
      <c r="M111"/>
      <c r="N111"/>
      <c r="O111"/>
      <c r="P111"/>
      <c r="Q111"/>
      <c r="R111"/>
      <c r="S111"/>
    </row>
    <row r="112" spans="1:19" s="12" customFormat="1" x14ac:dyDescent="0.25">
      <c r="A112" s="29"/>
      <c r="B112" s="30">
        <v>26000</v>
      </c>
      <c r="C112" s="31" t="s">
        <v>101</v>
      </c>
      <c r="D112" s="32"/>
      <c r="E112" s="33"/>
      <c r="F112" s="34">
        <f t="shared" ref="F112" si="88">SUM(F113)</f>
        <v>4624791.2750000004</v>
      </c>
      <c r="G112" s="34">
        <f t="shared" ref="G112:K112" si="89">SUM(G113)</f>
        <v>0</v>
      </c>
      <c r="H112" s="34">
        <f t="shared" si="89"/>
        <v>4624791.2750000004</v>
      </c>
      <c r="I112" s="34">
        <f t="shared" si="89"/>
        <v>1607888.68</v>
      </c>
      <c r="J112" s="34">
        <f t="shared" si="89"/>
        <v>1607746.68</v>
      </c>
      <c r="K112" s="34">
        <f t="shared" si="89"/>
        <v>3016902.5950000007</v>
      </c>
      <c r="M112"/>
      <c r="N112"/>
      <c r="O112"/>
      <c r="P112"/>
      <c r="Q112"/>
      <c r="R112"/>
      <c r="S112"/>
    </row>
    <row r="113" spans="1:19" s="12" customFormat="1" x14ac:dyDescent="0.25">
      <c r="A113" s="29"/>
      <c r="B113" s="35"/>
      <c r="C113" s="36">
        <v>26100</v>
      </c>
      <c r="D113" s="37" t="s">
        <v>101</v>
      </c>
      <c r="E113" s="38"/>
      <c r="F113" s="39">
        <f t="shared" ref="F113" si="90">SUM(F114:F115)</f>
        <v>4624791.2750000004</v>
      </c>
      <c r="G113" s="39">
        <f t="shared" ref="G113:K113" si="91">SUM(G114:G115)</f>
        <v>0</v>
      </c>
      <c r="H113" s="39">
        <f t="shared" si="91"/>
        <v>4624791.2750000004</v>
      </c>
      <c r="I113" s="39">
        <f t="shared" si="91"/>
        <v>1607888.68</v>
      </c>
      <c r="J113" s="39">
        <f t="shared" si="91"/>
        <v>1607746.68</v>
      </c>
      <c r="K113" s="39">
        <f t="shared" si="91"/>
        <v>3016902.5950000007</v>
      </c>
      <c r="M113"/>
      <c r="N113"/>
      <c r="O113"/>
      <c r="P113"/>
      <c r="Q113"/>
      <c r="R113"/>
      <c r="S113"/>
    </row>
    <row r="114" spans="1:19" s="12" customFormat="1" x14ac:dyDescent="0.25">
      <c r="A114" s="29"/>
      <c r="B114" s="40"/>
      <c r="C114" s="35"/>
      <c r="D114" s="41">
        <v>26101</v>
      </c>
      <c r="E114" s="42" t="s">
        <v>102</v>
      </c>
      <c r="F114" s="43">
        <f>6960595.325-3731747.81+1375421</f>
        <v>4604268.5150000006</v>
      </c>
      <c r="G114" s="43"/>
      <c r="H114" s="43">
        <f t="shared" ref="H114:H115" si="92">F114+G114</f>
        <v>4604268.5150000006</v>
      </c>
      <c r="I114" s="43">
        <v>1606491.68</v>
      </c>
      <c r="J114" s="43">
        <v>1606491.68</v>
      </c>
      <c r="K114" s="28">
        <f t="shared" si="63"/>
        <v>2997776.8350000009</v>
      </c>
      <c r="M114"/>
      <c r="N114"/>
      <c r="O114"/>
      <c r="P114"/>
      <c r="Q114"/>
      <c r="R114"/>
      <c r="S114"/>
    </row>
    <row r="115" spans="1:19" s="12" customFormat="1" x14ac:dyDescent="0.25">
      <c r="A115" s="29"/>
      <c r="B115" s="40"/>
      <c r="C115" s="35"/>
      <c r="D115" s="41">
        <v>26102</v>
      </c>
      <c r="E115" s="42" t="s">
        <v>103</v>
      </c>
      <c r="F115" s="43">
        <v>20522.759999999998</v>
      </c>
      <c r="G115" s="43"/>
      <c r="H115" s="43">
        <f t="shared" si="92"/>
        <v>20522.759999999998</v>
      </c>
      <c r="I115" s="43">
        <v>1397</v>
      </c>
      <c r="J115" s="43">
        <f>1397-142</f>
        <v>1255</v>
      </c>
      <c r="K115" s="28">
        <f t="shared" si="63"/>
        <v>19125.759999999998</v>
      </c>
      <c r="M115"/>
      <c r="N115"/>
      <c r="O115"/>
      <c r="P115"/>
      <c r="Q115"/>
      <c r="R115"/>
      <c r="S115"/>
    </row>
    <row r="116" spans="1:19" s="12" customFormat="1" x14ac:dyDescent="0.25">
      <c r="A116" s="29"/>
      <c r="B116" s="30">
        <v>27000</v>
      </c>
      <c r="C116" s="31" t="s">
        <v>104</v>
      </c>
      <c r="D116" s="32"/>
      <c r="E116" s="33"/>
      <c r="F116" s="34">
        <f>SUM(F117)</f>
        <v>264748.34999999998</v>
      </c>
      <c r="G116" s="34">
        <f t="shared" ref="G116:K116" si="93">SUM(G117,G120)</f>
        <v>0</v>
      </c>
      <c r="H116" s="34">
        <f t="shared" si="93"/>
        <v>264748.34999999998</v>
      </c>
      <c r="I116" s="34">
        <f t="shared" si="93"/>
        <v>0</v>
      </c>
      <c r="J116" s="34">
        <f t="shared" si="93"/>
        <v>0</v>
      </c>
      <c r="K116" s="34">
        <f t="shared" si="93"/>
        <v>264748.34999999998</v>
      </c>
      <c r="M116"/>
      <c r="N116"/>
      <c r="O116"/>
      <c r="P116"/>
      <c r="Q116"/>
      <c r="R116"/>
      <c r="S116"/>
    </row>
    <row r="117" spans="1:19" s="12" customFormat="1" x14ac:dyDescent="0.25">
      <c r="A117" s="29"/>
      <c r="B117" s="35"/>
      <c r="C117" s="36">
        <v>27100</v>
      </c>
      <c r="D117" s="37" t="s">
        <v>105</v>
      </c>
      <c r="E117" s="38"/>
      <c r="F117" s="39">
        <f t="shared" ref="F117" si="94">SUM(F118:F119)</f>
        <v>264748.34999999998</v>
      </c>
      <c r="G117" s="39">
        <f t="shared" ref="G117:K117" si="95">SUM(G118:G119)</f>
        <v>0</v>
      </c>
      <c r="H117" s="39">
        <f t="shared" si="95"/>
        <v>264748.34999999998</v>
      </c>
      <c r="I117" s="39">
        <f t="shared" si="95"/>
        <v>0</v>
      </c>
      <c r="J117" s="39">
        <f t="shared" si="95"/>
        <v>0</v>
      </c>
      <c r="K117" s="39">
        <f t="shared" si="95"/>
        <v>264748.34999999998</v>
      </c>
      <c r="M117"/>
      <c r="N117"/>
      <c r="O117"/>
      <c r="P117"/>
      <c r="Q117"/>
      <c r="R117"/>
      <c r="S117"/>
    </row>
    <row r="118" spans="1:19" s="12" customFormat="1" x14ac:dyDescent="0.25">
      <c r="A118" s="29"/>
      <c r="B118" s="40"/>
      <c r="C118" s="35"/>
      <c r="D118" s="41">
        <v>27101</v>
      </c>
      <c r="E118" s="42" t="s">
        <v>105</v>
      </c>
      <c r="F118" s="43">
        <v>234234.6</v>
      </c>
      <c r="G118" s="43"/>
      <c r="H118" s="43">
        <f t="shared" ref="H118:H119" si="96">F118+G118</f>
        <v>234234.6</v>
      </c>
      <c r="I118" s="43"/>
      <c r="J118" s="43"/>
      <c r="K118" s="28">
        <f t="shared" si="63"/>
        <v>234234.6</v>
      </c>
      <c r="M118"/>
      <c r="N118"/>
      <c r="O118"/>
      <c r="P118"/>
      <c r="Q118"/>
      <c r="R118"/>
      <c r="S118"/>
    </row>
    <row r="119" spans="1:19" s="12" customFormat="1" ht="30" x14ac:dyDescent="0.25">
      <c r="A119" s="29"/>
      <c r="B119" s="40"/>
      <c r="C119" s="35"/>
      <c r="D119" s="41">
        <v>27102</v>
      </c>
      <c r="E119" s="51" t="s">
        <v>106</v>
      </c>
      <c r="F119" s="43">
        <v>30513.75</v>
      </c>
      <c r="G119" s="43"/>
      <c r="H119" s="43">
        <f t="shared" si="96"/>
        <v>30513.75</v>
      </c>
      <c r="I119" s="43"/>
      <c r="J119" s="43"/>
      <c r="K119" s="28">
        <f t="shared" si="63"/>
        <v>30513.75</v>
      </c>
      <c r="M119"/>
      <c r="N119"/>
      <c r="O119"/>
      <c r="P119"/>
      <c r="Q119"/>
      <c r="R119"/>
      <c r="S119"/>
    </row>
    <row r="120" spans="1:19" s="12" customFormat="1" hidden="1" x14ac:dyDescent="0.25">
      <c r="A120" s="29"/>
      <c r="B120" s="35"/>
      <c r="C120" s="36">
        <v>27300</v>
      </c>
      <c r="D120" s="37" t="s">
        <v>107</v>
      </c>
      <c r="E120" s="38"/>
      <c r="F120" s="39"/>
      <c r="G120" s="39">
        <f t="shared" ref="G120:K120" si="97">SUM(G121)</f>
        <v>0</v>
      </c>
      <c r="H120" s="39">
        <f t="shared" si="97"/>
        <v>0</v>
      </c>
      <c r="I120" s="39">
        <f t="shared" si="97"/>
        <v>0</v>
      </c>
      <c r="J120" s="39">
        <f t="shared" si="97"/>
        <v>0</v>
      </c>
      <c r="K120" s="39">
        <f t="shared" si="97"/>
        <v>0</v>
      </c>
      <c r="M120"/>
      <c r="N120"/>
      <c r="O120"/>
      <c r="P120"/>
      <c r="Q120"/>
      <c r="R120"/>
      <c r="S120"/>
    </row>
    <row r="121" spans="1:19" s="12" customFormat="1" hidden="1" x14ac:dyDescent="0.25">
      <c r="A121" s="29"/>
      <c r="B121" s="40"/>
      <c r="C121" s="35"/>
      <c r="D121" s="41">
        <v>27301</v>
      </c>
      <c r="E121" s="42" t="s">
        <v>107</v>
      </c>
      <c r="F121" s="43"/>
      <c r="G121" s="43"/>
      <c r="H121" s="43">
        <f t="shared" ref="H121" si="98">F121+G121</f>
        <v>0</v>
      </c>
      <c r="I121" s="43"/>
      <c r="J121" s="43"/>
      <c r="K121" s="28">
        <f t="shared" si="63"/>
        <v>0</v>
      </c>
      <c r="M121"/>
      <c r="N121"/>
      <c r="O121"/>
      <c r="P121"/>
      <c r="Q121"/>
      <c r="R121"/>
      <c r="S121"/>
    </row>
    <row r="122" spans="1:19" s="12" customFormat="1" x14ac:dyDescent="0.25">
      <c r="A122" s="29"/>
      <c r="B122" s="30">
        <v>29000</v>
      </c>
      <c r="C122" s="31" t="s">
        <v>108</v>
      </c>
      <c r="D122" s="32"/>
      <c r="E122" s="33"/>
      <c r="F122" s="34">
        <f t="shared" ref="F122:K122" si="99">SUM(F123,F125,F127,F130,F132,F134)</f>
        <v>1203566.3399999999</v>
      </c>
      <c r="G122" s="34">
        <f t="shared" si="99"/>
        <v>0</v>
      </c>
      <c r="H122" s="34">
        <f t="shared" si="99"/>
        <v>1203566.3399999999</v>
      </c>
      <c r="I122" s="34">
        <f t="shared" si="99"/>
        <v>99734.41</v>
      </c>
      <c r="J122" s="34">
        <f t="shared" si="99"/>
        <v>5807.5200000000023</v>
      </c>
      <c r="K122" s="34">
        <f t="shared" si="99"/>
        <v>1103831.93</v>
      </c>
      <c r="M122"/>
      <c r="N122"/>
      <c r="O122"/>
      <c r="P122"/>
      <c r="Q122"/>
      <c r="R122"/>
      <c r="S122"/>
    </row>
    <row r="123" spans="1:19" s="12" customFormat="1" x14ac:dyDescent="0.25">
      <c r="A123" s="29"/>
      <c r="B123" s="35"/>
      <c r="C123" s="36">
        <v>29100</v>
      </c>
      <c r="D123" s="37" t="s">
        <v>109</v>
      </c>
      <c r="E123" s="38"/>
      <c r="F123" s="39">
        <f t="shared" ref="F123:K123" si="100">SUM(F124)</f>
        <v>28623.72</v>
      </c>
      <c r="G123" s="39">
        <f t="shared" si="100"/>
        <v>0</v>
      </c>
      <c r="H123" s="39">
        <f t="shared" si="100"/>
        <v>28623.72</v>
      </c>
      <c r="I123" s="39">
        <f t="shared" si="100"/>
        <v>0</v>
      </c>
      <c r="J123" s="39">
        <f t="shared" si="100"/>
        <v>0</v>
      </c>
      <c r="K123" s="39">
        <f t="shared" si="100"/>
        <v>28623.72</v>
      </c>
      <c r="M123"/>
      <c r="N123"/>
      <c r="O123"/>
      <c r="P123"/>
      <c r="Q123"/>
      <c r="R123"/>
      <c r="S123"/>
    </row>
    <row r="124" spans="1:19" s="12" customFormat="1" x14ac:dyDescent="0.25">
      <c r="A124" s="29"/>
      <c r="B124" s="40"/>
      <c r="C124" s="35"/>
      <c r="D124" s="41">
        <v>29101</v>
      </c>
      <c r="E124" s="42" t="s">
        <v>110</v>
      </c>
      <c r="F124" s="43">
        <v>28623.72</v>
      </c>
      <c r="G124" s="43"/>
      <c r="H124" s="43">
        <f t="shared" ref="H124" si="101">F124+G124</f>
        <v>28623.72</v>
      </c>
      <c r="I124" s="43"/>
      <c r="J124" s="43"/>
      <c r="K124" s="28">
        <f t="shared" si="63"/>
        <v>28623.72</v>
      </c>
      <c r="M124"/>
      <c r="N124"/>
      <c r="O124"/>
      <c r="P124"/>
      <c r="Q124"/>
      <c r="R124"/>
      <c r="S124"/>
    </row>
    <row r="125" spans="1:19" s="12" customFormat="1" x14ac:dyDescent="0.25">
      <c r="A125" s="29"/>
      <c r="B125" s="35"/>
      <c r="C125" s="36">
        <v>29200</v>
      </c>
      <c r="D125" s="37" t="s">
        <v>111</v>
      </c>
      <c r="E125" s="38"/>
      <c r="F125" s="39">
        <f t="shared" ref="F125:K125" si="102">SUM(F126)</f>
        <v>97116.12</v>
      </c>
      <c r="G125" s="39">
        <f t="shared" si="102"/>
        <v>0</v>
      </c>
      <c r="H125" s="39">
        <f t="shared" si="102"/>
        <v>97116.12</v>
      </c>
      <c r="I125" s="39">
        <f t="shared" si="102"/>
        <v>6410.15</v>
      </c>
      <c r="J125" s="39">
        <f t="shared" si="102"/>
        <v>2286.4699999999993</v>
      </c>
      <c r="K125" s="39">
        <f t="shared" si="102"/>
        <v>90705.97</v>
      </c>
      <c r="M125"/>
      <c r="N125"/>
      <c r="O125"/>
      <c r="P125"/>
      <c r="Q125"/>
      <c r="R125"/>
      <c r="S125"/>
    </row>
    <row r="126" spans="1:19" s="12" customFormat="1" ht="30" x14ac:dyDescent="0.25">
      <c r="A126" s="29"/>
      <c r="B126" s="40"/>
      <c r="C126" s="35"/>
      <c r="D126" s="41">
        <v>29201</v>
      </c>
      <c r="E126" s="42" t="s">
        <v>111</v>
      </c>
      <c r="F126" s="43">
        <v>97116.12</v>
      </c>
      <c r="G126" s="43"/>
      <c r="H126" s="43">
        <f t="shared" si="68"/>
        <v>97116.12</v>
      </c>
      <c r="I126" s="43">
        <v>6410.15</v>
      </c>
      <c r="J126" s="43">
        <f>6410.15-4123.68</f>
        <v>2286.4699999999993</v>
      </c>
      <c r="K126" s="28">
        <f t="shared" si="63"/>
        <v>90705.97</v>
      </c>
      <c r="M126"/>
      <c r="N126"/>
      <c r="O126"/>
      <c r="P126"/>
      <c r="Q126"/>
      <c r="R126"/>
      <c r="S126"/>
    </row>
    <row r="127" spans="1:19" s="12" customFormat="1" x14ac:dyDescent="0.25">
      <c r="A127" s="29"/>
      <c r="B127" s="35"/>
      <c r="C127" s="36">
        <v>29300</v>
      </c>
      <c r="D127" s="37" t="s">
        <v>112</v>
      </c>
      <c r="E127" s="38"/>
      <c r="F127" s="39">
        <f t="shared" ref="F127" si="103">SUM(F128:F129)</f>
        <v>61336.56</v>
      </c>
      <c r="G127" s="39">
        <f t="shared" ref="G127:K127" si="104">SUM(G128:G129)</f>
        <v>0</v>
      </c>
      <c r="H127" s="39">
        <f t="shared" si="104"/>
        <v>61336.56</v>
      </c>
      <c r="I127" s="39">
        <f t="shared" si="104"/>
        <v>337.74</v>
      </c>
      <c r="J127" s="39">
        <f t="shared" si="104"/>
        <v>337.74</v>
      </c>
      <c r="K127" s="39">
        <f t="shared" si="104"/>
        <v>60998.82</v>
      </c>
      <c r="M127"/>
      <c r="N127"/>
      <c r="O127"/>
      <c r="P127"/>
      <c r="Q127"/>
      <c r="R127"/>
      <c r="S127"/>
    </row>
    <row r="128" spans="1:19" s="12" customFormat="1" ht="30" x14ac:dyDescent="0.25">
      <c r="A128" s="29"/>
      <c r="B128" s="40"/>
      <c r="C128" s="35"/>
      <c r="D128" s="41">
        <v>29301</v>
      </c>
      <c r="E128" s="42" t="s">
        <v>113</v>
      </c>
      <c r="F128" s="43">
        <v>10222.799999999999</v>
      </c>
      <c r="G128" s="43"/>
      <c r="H128" s="43">
        <f t="shared" si="68"/>
        <v>10222.799999999999</v>
      </c>
      <c r="I128" s="43">
        <v>337.74</v>
      </c>
      <c r="J128" s="43">
        <v>337.74</v>
      </c>
      <c r="K128" s="28">
        <f t="shared" si="63"/>
        <v>9885.06</v>
      </c>
      <c r="M128"/>
      <c r="N128"/>
      <c r="O128"/>
      <c r="P128"/>
      <c r="Q128"/>
      <c r="R128"/>
      <c r="S128"/>
    </row>
    <row r="129" spans="1:19" s="12" customFormat="1" ht="30" x14ac:dyDescent="0.25">
      <c r="A129" s="29"/>
      <c r="B129" s="40"/>
      <c r="C129" s="35"/>
      <c r="D129" s="41">
        <v>29302</v>
      </c>
      <c r="E129" s="42" t="s">
        <v>114</v>
      </c>
      <c r="F129" s="43">
        <v>51113.760000000002</v>
      </c>
      <c r="G129" s="43"/>
      <c r="H129" s="43">
        <f t="shared" si="68"/>
        <v>51113.760000000002</v>
      </c>
      <c r="I129" s="43"/>
      <c r="J129" s="43"/>
      <c r="K129" s="28">
        <f t="shared" si="63"/>
        <v>51113.760000000002</v>
      </c>
      <c r="M129"/>
      <c r="N129"/>
      <c r="O129"/>
      <c r="P129"/>
      <c r="Q129"/>
      <c r="R129"/>
      <c r="S129"/>
    </row>
    <row r="130" spans="1:19" s="12" customFormat="1" x14ac:dyDescent="0.25">
      <c r="A130" s="29"/>
      <c r="B130" s="35"/>
      <c r="C130" s="36">
        <v>29400</v>
      </c>
      <c r="D130" s="37" t="s">
        <v>115</v>
      </c>
      <c r="E130" s="38"/>
      <c r="F130" s="39">
        <f t="shared" ref="F130" si="105">SUM(F131)</f>
        <v>471750.3</v>
      </c>
      <c r="G130" s="39">
        <f t="shared" ref="G130:K130" si="106">SUM(G131)</f>
        <v>0</v>
      </c>
      <c r="H130" s="39">
        <f t="shared" si="106"/>
        <v>471750.3</v>
      </c>
      <c r="I130" s="39">
        <f t="shared" si="106"/>
        <v>51841.120000000003</v>
      </c>
      <c r="J130" s="39">
        <f t="shared" si="106"/>
        <v>1844.4</v>
      </c>
      <c r="K130" s="39">
        <f t="shared" si="106"/>
        <v>419909.18</v>
      </c>
      <c r="M130"/>
      <c r="N130"/>
      <c r="O130"/>
      <c r="P130"/>
      <c r="Q130"/>
      <c r="R130"/>
      <c r="S130"/>
    </row>
    <row r="131" spans="1:19" s="12" customFormat="1" ht="45" x14ac:dyDescent="0.25">
      <c r="A131" s="29"/>
      <c r="B131" s="40"/>
      <c r="C131" s="35"/>
      <c r="D131" s="41">
        <v>29401</v>
      </c>
      <c r="E131" s="42" t="s">
        <v>115</v>
      </c>
      <c r="F131" s="43">
        <v>471750.3</v>
      </c>
      <c r="G131" s="43"/>
      <c r="H131" s="43">
        <f t="shared" si="68"/>
        <v>471750.3</v>
      </c>
      <c r="I131" s="43">
        <v>51841.120000000003</v>
      </c>
      <c r="J131" s="43">
        <v>1844.4</v>
      </c>
      <c r="K131" s="28">
        <f t="shared" si="63"/>
        <v>419909.18</v>
      </c>
      <c r="M131"/>
      <c r="N131"/>
      <c r="O131"/>
      <c r="P131"/>
      <c r="Q131"/>
      <c r="R131"/>
      <c r="S131"/>
    </row>
    <row r="132" spans="1:19" s="12" customFormat="1" x14ac:dyDescent="0.25">
      <c r="A132" s="29"/>
      <c r="B132" s="35"/>
      <c r="C132" s="36">
        <v>29600</v>
      </c>
      <c r="D132" s="37" t="s">
        <v>116</v>
      </c>
      <c r="E132" s="38"/>
      <c r="F132" s="39">
        <f t="shared" ref="F132:K132" si="107">SUM(F133)</f>
        <v>158838.84</v>
      </c>
      <c r="G132" s="39">
        <f t="shared" si="107"/>
        <v>0</v>
      </c>
      <c r="H132" s="39">
        <f t="shared" si="107"/>
        <v>158838.84</v>
      </c>
      <c r="I132" s="39">
        <f t="shared" si="107"/>
        <v>41145.4</v>
      </c>
      <c r="J132" s="39">
        <f t="shared" si="107"/>
        <v>1338.9100000000035</v>
      </c>
      <c r="K132" s="39">
        <f t="shared" si="107"/>
        <v>117693.44</v>
      </c>
      <c r="M132"/>
      <c r="N132"/>
      <c r="O132"/>
      <c r="P132"/>
      <c r="Q132"/>
      <c r="R132"/>
      <c r="S132"/>
    </row>
    <row r="133" spans="1:19" s="12" customFormat="1" ht="30" x14ac:dyDescent="0.25">
      <c r="A133" s="29"/>
      <c r="B133" s="40"/>
      <c r="C133" s="35"/>
      <c r="D133" s="41">
        <v>29601</v>
      </c>
      <c r="E133" s="42" t="s">
        <v>116</v>
      </c>
      <c r="F133" s="43">
        <v>158838.84</v>
      </c>
      <c r="G133" s="43"/>
      <c r="H133" s="43">
        <f t="shared" si="68"/>
        <v>158838.84</v>
      </c>
      <c r="I133" s="43">
        <v>41145.4</v>
      </c>
      <c r="J133" s="43">
        <f>41145.4-39806.49</f>
        <v>1338.9100000000035</v>
      </c>
      <c r="K133" s="28">
        <f t="shared" si="63"/>
        <v>117693.44</v>
      </c>
      <c r="M133"/>
      <c r="N133"/>
      <c r="O133"/>
      <c r="P133"/>
      <c r="Q133"/>
      <c r="R133"/>
      <c r="S133"/>
    </row>
    <row r="134" spans="1:19" s="12" customFormat="1" x14ac:dyDescent="0.25">
      <c r="A134" s="29"/>
      <c r="B134" s="35"/>
      <c r="C134" s="36">
        <v>29800</v>
      </c>
      <c r="D134" s="37" t="s">
        <v>117</v>
      </c>
      <c r="E134" s="38"/>
      <c r="F134" s="39">
        <f t="shared" ref="F134" si="108">SUM(F135:F136)</f>
        <v>385900.79999999999</v>
      </c>
      <c r="G134" s="39">
        <f t="shared" ref="G134:K134" si="109">SUM(G135:G136)</f>
        <v>0</v>
      </c>
      <c r="H134" s="39">
        <f t="shared" si="109"/>
        <v>385900.79999999999</v>
      </c>
      <c r="I134" s="39">
        <f t="shared" si="109"/>
        <v>0</v>
      </c>
      <c r="J134" s="39">
        <f t="shared" si="109"/>
        <v>0</v>
      </c>
      <c r="K134" s="39">
        <f t="shared" si="109"/>
        <v>385900.79999999999</v>
      </c>
      <c r="M134"/>
      <c r="N134"/>
      <c r="O134"/>
      <c r="P134"/>
      <c r="Q134"/>
      <c r="R134"/>
      <c r="S134"/>
    </row>
    <row r="135" spans="1:19" s="12" customFormat="1" ht="45" x14ac:dyDescent="0.25">
      <c r="A135" s="29"/>
      <c r="B135" s="40"/>
      <c r="C135" s="35"/>
      <c r="D135" s="41">
        <v>29804</v>
      </c>
      <c r="E135" s="42" t="s">
        <v>118</v>
      </c>
      <c r="F135" s="43">
        <v>152568.72</v>
      </c>
      <c r="G135" s="43"/>
      <c r="H135" s="43">
        <f t="shared" si="68"/>
        <v>152568.72</v>
      </c>
      <c r="I135" s="43"/>
      <c r="J135" s="43">
        <v>0</v>
      </c>
      <c r="K135" s="28">
        <f t="shared" si="63"/>
        <v>152568.72</v>
      </c>
      <c r="M135"/>
      <c r="N135"/>
      <c r="O135"/>
      <c r="P135"/>
      <c r="Q135"/>
      <c r="R135"/>
      <c r="S135"/>
    </row>
    <row r="136" spans="1:19" s="12" customFormat="1" ht="45" x14ac:dyDescent="0.25">
      <c r="A136" s="29"/>
      <c r="B136" s="40"/>
      <c r="C136" s="35"/>
      <c r="D136" s="41">
        <v>29805</v>
      </c>
      <c r="E136" s="42" t="s">
        <v>119</v>
      </c>
      <c r="F136" s="43">
        <v>233332.08</v>
      </c>
      <c r="G136" s="43"/>
      <c r="H136" s="43">
        <f t="shared" si="68"/>
        <v>233332.08</v>
      </c>
      <c r="I136" s="43"/>
      <c r="J136" s="43"/>
      <c r="K136" s="28">
        <f t="shared" si="63"/>
        <v>233332.08</v>
      </c>
      <c r="M136"/>
      <c r="N136"/>
      <c r="O136"/>
      <c r="P136"/>
      <c r="Q136"/>
      <c r="R136"/>
      <c r="S136"/>
    </row>
    <row r="137" spans="1:19" s="12" customFormat="1" x14ac:dyDescent="0.25">
      <c r="A137" s="29"/>
      <c r="B137" s="40"/>
      <c r="C137" s="35"/>
      <c r="D137" s="41"/>
      <c r="E137" s="42"/>
      <c r="F137" s="43"/>
      <c r="G137" s="43"/>
      <c r="H137" s="43"/>
      <c r="I137" s="43"/>
      <c r="J137" s="43"/>
      <c r="K137" s="28"/>
      <c r="M137"/>
      <c r="N137"/>
      <c r="O137"/>
      <c r="P137"/>
      <c r="Q137"/>
      <c r="R137"/>
      <c r="S137"/>
    </row>
    <row r="138" spans="1:19" s="12" customFormat="1" x14ac:dyDescent="0.25">
      <c r="A138" s="23">
        <v>30000</v>
      </c>
      <c r="B138" s="24" t="s">
        <v>120</v>
      </c>
      <c r="C138" s="25"/>
      <c r="D138" s="25"/>
      <c r="E138" s="26"/>
      <c r="F138" s="28">
        <f>SUM(F139,F154,F163,F176,F186,F209,F212,F227)</f>
        <v>28249911.129999999</v>
      </c>
      <c r="G138" s="28">
        <f t="shared" ref="G138:K138" si="110">SUM(G139,G154,G163,G176,G186,G209,G212,G227,G231)</f>
        <v>0</v>
      </c>
      <c r="H138" s="28">
        <f t="shared" si="110"/>
        <v>28249911.129999999</v>
      </c>
      <c r="I138" s="28">
        <f t="shared" si="110"/>
        <v>4309602.0399999991</v>
      </c>
      <c r="J138" s="28">
        <f t="shared" si="110"/>
        <v>2816327.87</v>
      </c>
      <c r="K138" s="28">
        <f t="shared" si="110"/>
        <v>23940309.09</v>
      </c>
      <c r="M138"/>
      <c r="N138"/>
      <c r="O138"/>
      <c r="P138"/>
      <c r="Q138"/>
      <c r="R138"/>
      <c r="S138"/>
    </row>
    <row r="139" spans="1:19" s="12" customFormat="1" x14ac:dyDescent="0.25">
      <c r="A139" s="29"/>
      <c r="B139" s="30">
        <v>31000</v>
      </c>
      <c r="C139" s="31" t="s">
        <v>121</v>
      </c>
      <c r="D139" s="32"/>
      <c r="E139" s="33"/>
      <c r="F139" s="34">
        <f>SUM(F140,F142,F144,F146,F150,F152)</f>
        <v>11097656.41</v>
      </c>
      <c r="G139" s="34">
        <f t="shared" ref="G139:K139" si="111">SUM(G140,G142,G144,G146,G148,G150,G152)</f>
        <v>0</v>
      </c>
      <c r="H139" s="34">
        <f t="shared" si="111"/>
        <v>11097656.41</v>
      </c>
      <c r="I139" s="34">
        <f t="shared" si="111"/>
        <v>2524986.0199999996</v>
      </c>
      <c r="J139" s="34">
        <f t="shared" si="111"/>
        <v>1698809.2399999998</v>
      </c>
      <c r="K139" s="34">
        <f t="shared" si="111"/>
        <v>8572670.3900000006</v>
      </c>
      <c r="M139"/>
      <c r="N139"/>
      <c r="O139"/>
      <c r="P139"/>
      <c r="Q139"/>
      <c r="R139"/>
      <c r="S139"/>
    </row>
    <row r="140" spans="1:19" s="12" customFormat="1" x14ac:dyDescent="0.25">
      <c r="A140" s="29"/>
      <c r="B140" s="35"/>
      <c r="C140" s="36">
        <v>31100</v>
      </c>
      <c r="D140" s="37" t="s">
        <v>122</v>
      </c>
      <c r="E140" s="38"/>
      <c r="F140" s="39">
        <f t="shared" ref="F140:K140" si="112">SUM(F141)</f>
        <v>5501223.3200000003</v>
      </c>
      <c r="G140" s="39">
        <f t="shared" si="112"/>
        <v>0</v>
      </c>
      <c r="H140" s="39">
        <f t="shared" si="112"/>
        <v>5501223.3200000003</v>
      </c>
      <c r="I140" s="39">
        <f t="shared" si="112"/>
        <v>1400069</v>
      </c>
      <c r="J140" s="39">
        <f t="shared" si="112"/>
        <v>1400069</v>
      </c>
      <c r="K140" s="39">
        <f t="shared" si="112"/>
        <v>4101154.3200000003</v>
      </c>
      <c r="M140"/>
      <c r="N140"/>
      <c r="O140"/>
      <c r="P140"/>
      <c r="Q140"/>
      <c r="R140"/>
      <c r="S140"/>
    </row>
    <row r="141" spans="1:19" s="12" customFormat="1" x14ac:dyDescent="0.25">
      <c r="A141" s="29"/>
      <c r="B141" s="40"/>
      <c r="C141" s="35"/>
      <c r="D141" s="41">
        <v>31101</v>
      </c>
      <c r="E141" s="42" t="s">
        <v>123</v>
      </c>
      <c r="F141" s="43">
        <f>13950127-8448903.68</f>
        <v>5501223.3200000003</v>
      </c>
      <c r="G141" s="43"/>
      <c r="H141" s="43">
        <f t="shared" si="68"/>
        <v>5501223.3200000003</v>
      </c>
      <c r="I141" s="43">
        <v>1400069</v>
      </c>
      <c r="J141" s="43">
        <v>1400069</v>
      </c>
      <c r="K141" s="28">
        <f t="shared" si="63"/>
        <v>4101154.3200000003</v>
      </c>
      <c r="M141"/>
      <c r="N141"/>
      <c r="O141"/>
      <c r="P141"/>
      <c r="Q141"/>
      <c r="R141"/>
      <c r="S141"/>
    </row>
    <row r="142" spans="1:19" s="12" customFormat="1" x14ac:dyDescent="0.25">
      <c r="A142" s="29"/>
      <c r="B142" s="35"/>
      <c r="C142" s="36">
        <v>31300</v>
      </c>
      <c r="D142" s="37" t="s">
        <v>124</v>
      </c>
      <c r="E142" s="38"/>
      <c r="F142" s="39">
        <f t="shared" ref="F142:K142" si="113">SUM(F143)</f>
        <v>777258.4</v>
      </c>
      <c r="G142" s="39">
        <f t="shared" si="113"/>
        <v>0</v>
      </c>
      <c r="H142" s="39">
        <f t="shared" si="113"/>
        <v>777258.4</v>
      </c>
      <c r="I142" s="39">
        <f t="shared" si="113"/>
        <v>246264.89</v>
      </c>
      <c r="J142" s="39">
        <f t="shared" si="113"/>
        <v>0</v>
      </c>
      <c r="K142" s="39">
        <f t="shared" si="113"/>
        <v>530993.51</v>
      </c>
      <c r="M142"/>
      <c r="N142"/>
      <c r="O142"/>
      <c r="P142"/>
      <c r="Q142"/>
      <c r="R142"/>
      <c r="S142"/>
    </row>
    <row r="143" spans="1:19" s="12" customFormat="1" x14ac:dyDescent="0.25">
      <c r="A143" s="29"/>
      <c r="B143" s="40"/>
      <c r="C143" s="35"/>
      <c r="D143" s="41">
        <v>31301</v>
      </c>
      <c r="E143" s="42" t="s">
        <v>125</v>
      </c>
      <c r="F143" s="43">
        <f>1779575-1002316.6</f>
        <v>777258.4</v>
      </c>
      <c r="G143" s="43"/>
      <c r="H143" s="43">
        <f t="shared" si="68"/>
        <v>777258.4</v>
      </c>
      <c r="I143" s="43">
        <v>246264.89</v>
      </c>
      <c r="J143" s="43"/>
      <c r="K143" s="28">
        <f t="shared" si="63"/>
        <v>530993.51</v>
      </c>
      <c r="M143"/>
      <c r="N143"/>
      <c r="O143"/>
      <c r="P143"/>
      <c r="Q143"/>
      <c r="R143"/>
      <c r="S143"/>
    </row>
    <row r="144" spans="1:19" s="12" customFormat="1" x14ac:dyDescent="0.25">
      <c r="A144" s="29"/>
      <c r="B144" s="35"/>
      <c r="C144" s="36">
        <v>31400</v>
      </c>
      <c r="D144" s="37" t="s">
        <v>126</v>
      </c>
      <c r="E144" s="38"/>
      <c r="F144" s="39">
        <f t="shared" ref="F144:K144" si="114">SUM(F145)</f>
        <v>330531.49</v>
      </c>
      <c r="G144" s="39">
        <f t="shared" si="114"/>
        <v>0</v>
      </c>
      <c r="H144" s="39">
        <f t="shared" si="114"/>
        <v>330531.49</v>
      </c>
      <c r="I144" s="39">
        <f t="shared" si="114"/>
        <v>204943.61</v>
      </c>
      <c r="J144" s="39">
        <f t="shared" si="114"/>
        <v>204943.61</v>
      </c>
      <c r="K144" s="39">
        <f t="shared" si="114"/>
        <v>125587.88</v>
      </c>
      <c r="M144"/>
      <c r="N144"/>
      <c r="O144"/>
      <c r="P144"/>
      <c r="Q144"/>
      <c r="R144"/>
      <c r="S144"/>
    </row>
    <row r="145" spans="1:19" s="12" customFormat="1" x14ac:dyDescent="0.25">
      <c r="A145" s="29"/>
      <c r="B145" s="40"/>
      <c r="C145" s="35"/>
      <c r="D145" s="41">
        <v>31401</v>
      </c>
      <c r="E145" s="42" t="s">
        <v>127</v>
      </c>
      <c r="F145" s="43">
        <f>923747.26-593215.77</f>
        <v>330531.49</v>
      </c>
      <c r="G145" s="43"/>
      <c r="H145" s="43">
        <f t="shared" ref="H145:H208" si="115">F145+G145</f>
        <v>330531.49</v>
      </c>
      <c r="I145" s="43">
        <v>204943.61</v>
      </c>
      <c r="J145" s="43">
        <v>204943.61</v>
      </c>
      <c r="K145" s="28">
        <f t="shared" ref="K145:K208" si="116">H145-I145</f>
        <v>125587.88</v>
      </c>
      <c r="M145"/>
      <c r="N145"/>
      <c r="O145"/>
      <c r="P145"/>
      <c r="Q145"/>
      <c r="R145"/>
      <c r="S145"/>
    </row>
    <row r="146" spans="1:19" s="12" customFormat="1" x14ac:dyDescent="0.25">
      <c r="A146" s="29"/>
      <c r="B146" s="35"/>
      <c r="C146" s="36">
        <v>31500</v>
      </c>
      <c r="D146" s="37" t="s">
        <v>128</v>
      </c>
      <c r="E146" s="38"/>
      <c r="F146" s="39">
        <f t="shared" ref="F146:K146" si="117">SUM(F147)</f>
        <v>494756</v>
      </c>
      <c r="G146" s="39">
        <f t="shared" si="117"/>
        <v>0</v>
      </c>
      <c r="H146" s="39">
        <f t="shared" si="117"/>
        <v>494756</v>
      </c>
      <c r="I146" s="39">
        <f t="shared" si="117"/>
        <v>102207.17</v>
      </c>
      <c r="J146" s="39">
        <f t="shared" si="117"/>
        <v>74275.179999999993</v>
      </c>
      <c r="K146" s="39">
        <f t="shared" si="117"/>
        <v>392548.83</v>
      </c>
      <c r="M146"/>
      <c r="N146"/>
      <c r="O146"/>
      <c r="P146"/>
      <c r="Q146"/>
      <c r="R146"/>
      <c r="S146"/>
    </row>
    <row r="147" spans="1:19" s="12" customFormat="1" x14ac:dyDescent="0.25">
      <c r="A147" s="29"/>
      <c r="B147" s="40"/>
      <c r="C147" s="35"/>
      <c r="D147" s="41">
        <v>31501</v>
      </c>
      <c r="E147" s="42" t="s">
        <v>129</v>
      </c>
      <c r="F147" s="43">
        <v>494756</v>
      </c>
      <c r="G147" s="43"/>
      <c r="H147" s="43">
        <f t="shared" si="115"/>
        <v>494756</v>
      </c>
      <c r="I147" s="43">
        <v>102207.17</v>
      </c>
      <c r="J147" s="43">
        <v>74275.179999999993</v>
      </c>
      <c r="K147" s="28">
        <f t="shared" si="116"/>
        <v>392548.83</v>
      </c>
      <c r="M147"/>
      <c r="N147"/>
      <c r="O147"/>
      <c r="P147"/>
      <c r="Q147"/>
      <c r="R147"/>
      <c r="S147"/>
    </row>
    <row r="148" spans="1:19" s="12" customFormat="1" hidden="1" x14ac:dyDescent="0.25">
      <c r="A148" s="29"/>
      <c r="B148" s="35"/>
      <c r="C148" s="36">
        <v>31600</v>
      </c>
      <c r="D148" s="37" t="s">
        <v>130</v>
      </c>
      <c r="E148" s="38"/>
      <c r="F148" s="39"/>
      <c r="G148" s="39">
        <f t="shared" ref="G148:K148" si="118">SUM(G149)</f>
        <v>0</v>
      </c>
      <c r="H148" s="39">
        <f t="shared" si="118"/>
        <v>0</v>
      </c>
      <c r="I148" s="39">
        <f t="shared" si="118"/>
        <v>0</v>
      </c>
      <c r="J148" s="39">
        <f t="shared" si="118"/>
        <v>0</v>
      </c>
      <c r="K148" s="39">
        <f t="shared" si="118"/>
        <v>0</v>
      </c>
      <c r="M148"/>
      <c r="N148"/>
      <c r="O148"/>
      <c r="P148"/>
      <c r="Q148"/>
      <c r="R148"/>
      <c r="S148"/>
    </row>
    <row r="149" spans="1:19" s="12" customFormat="1" ht="15" hidden="1" customHeight="1" x14ac:dyDescent="0.25">
      <c r="A149" s="29"/>
      <c r="B149" s="40"/>
      <c r="C149" s="35"/>
      <c r="D149" s="41">
        <v>31601</v>
      </c>
      <c r="E149" s="42" t="s">
        <v>130</v>
      </c>
      <c r="F149" s="43"/>
      <c r="G149" s="43"/>
      <c r="H149" s="43">
        <f t="shared" si="115"/>
        <v>0</v>
      </c>
      <c r="I149" s="43"/>
      <c r="J149" s="43"/>
      <c r="K149" s="28">
        <f t="shared" si="116"/>
        <v>0</v>
      </c>
      <c r="M149"/>
      <c r="N149"/>
      <c r="O149"/>
      <c r="P149"/>
      <c r="Q149"/>
      <c r="R149"/>
      <c r="S149"/>
    </row>
    <row r="150" spans="1:19" s="12" customFormat="1" x14ac:dyDescent="0.25">
      <c r="A150" s="29"/>
      <c r="B150" s="35"/>
      <c r="C150" s="36">
        <v>31700</v>
      </c>
      <c r="D150" s="37" t="s">
        <v>131</v>
      </c>
      <c r="E150" s="38"/>
      <c r="F150" s="39">
        <f t="shared" ref="F150:K150" si="119">SUM(F151)</f>
        <v>2557552.2000000002</v>
      </c>
      <c r="G150" s="39">
        <f t="shared" si="119"/>
        <v>0</v>
      </c>
      <c r="H150" s="39">
        <f t="shared" si="119"/>
        <v>2557552.2000000002</v>
      </c>
      <c r="I150" s="39">
        <f t="shared" si="119"/>
        <v>413842.26</v>
      </c>
      <c r="J150" s="39">
        <f t="shared" si="119"/>
        <v>0</v>
      </c>
      <c r="K150" s="39">
        <f t="shared" si="119"/>
        <v>2143709.9400000004</v>
      </c>
      <c r="M150"/>
      <c r="N150"/>
      <c r="O150"/>
      <c r="P150"/>
      <c r="Q150"/>
      <c r="R150"/>
      <c r="S150"/>
    </row>
    <row r="151" spans="1:19" s="12" customFormat="1" ht="30" x14ac:dyDescent="0.25">
      <c r="A151" s="29"/>
      <c r="B151" s="40"/>
      <c r="C151" s="35"/>
      <c r="D151" s="41">
        <v>31701</v>
      </c>
      <c r="E151" s="42" t="s">
        <v>131</v>
      </c>
      <c r="F151" s="43">
        <v>2557552.2000000002</v>
      </c>
      <c r="G151" s="43"/>
      <c r="H151" s="43">
        <f t="shared" si="115"/>
        <v>2557552.2000000002</v>
      </c>
      <c r="I151" s="43">
        <v>413842.26</v>
      </c>
      <c r="J151" s="43"/>
      <c r="K151" s="28">
        <f t="shared" si="116"/>
        <v>2143709.9400000004</v>
      </c>
      <c r="M151"/>
      <c r="N151"/>
      <c r="O151"/>
      <c r="P151"/>
      <c r="Q151"/>
      <c r="R151"/>
      <c r="S151"/>
    </row>
    <row r="152" spans="1:19" s="12" customFormat="1" x14ac:dyDescent="0.25">
      <c r="A152" s="29"/>
      <c r="B152" s="35"/>
      <c r="C152" s="36">
        <v>31800</v>
      </c>
      <c r="D152" s="37" t="s">
        <v>132</v>
      </c>
      <c r="E152" s="38"/>
      <c r="F152" s="39">
        <f t="shared" ref="F152:K152" si="120">SUM(F153)</f>
        <v>1436335</v>
      </c>
      <c r="G152" s="39">
        <f t="shared" si="120"/>
        <v>0</v>
      </c>
      <c r="H152" s="39">
        <f t="shared" si="120"/>
        <v>1436335</v>
      </c>
      <c r="I152" s="39">
        <f t="shared" si="120"/>
        <v>157659.09</v>
      </c>
      <c r="J152" s="39">
        <f t="shared" si="120"/>
        <v>19521.45</v>
      </c>
      <c r="K152" s="39">
        <f t="shared" si="120"/>
        <v>1278675.9099999999</v>
      </c>
      <c r="M152"/>
      <c r="N152"/>
      <c r="O152"/>
      <c r="P152"/>
      <c r="Q152"/>
      <c r="R152"/>
      <c r="S152"/>
    </row>
    <row r="153" spans="1:19" s="12" customFormat="1" x14ac:dyDescent="0.25">
      <c r="A153" s="29"/>
      <c r="B153" s="40"/>
      <c r="C153" s="35"/>
      <c r="D153" s="41">
        <v>31801</v>
      </c>
      <c r="E153" s="42" t="s">
        <v>133</v>
      </c>
      <c r="F153" s="43">
        <v>1436335</v>
      </c>
      <c r="G153" s="43"/>
      <c r="H153" s="43">
        <f t="shared" si="115"/>
        <v>1436335</v>
      </c>
      <c r="I153" s="43">
        <v>157659.09</v>
      </c>
      <c r="J153" s="43">
        <v>19521.45</v>
      </c>
      <c r="K153" s="28">
        <f t="shared" si="116"/>
        <v>1278675.9099999999</v>
      </c>
      <c r="M153"/>
      <c r="N153"/>
      <c r="O153"/>
      <c r="P153"/>
      <c r="Q153"/>
      <c r="R153"/>
      <c r="S153"/>
    </row>
    <row r="154" spans="1:19" s="12" customFormat="1" x14ac:dyDescent="0.25">
      <c r="A154" s="29"/>
      <c r="B154" s="30">
        <v>32000</v>
      </c>
      <c r="C154" s="31" t="s">
        <v>134</v>
      </c>
      <c r="D154" s="32"/>
      <c r="E154" s="33"/>
      <c r="F154" s="34">
        <f t="shared" ref="F154:K154" si="121">SUM(F155,F157,F159,F161)</f>
        <v>4834577.04</v>
      </c>
      <c r="G154" s="34">
        <f t="shared" si="121"/>
        <v>0</v>
      </c>
      <c r="H154" s="34">
        <f t="shared" si="121"/>
        <v>4834577.04</v>
      </c>
      <c r="I154" s="34">
        <f t="shared" si="121"/>
        <v>939660.30999999994</v>
      </c>
      <c r="J154" s="34">
        <f t="shared" si="121"/>
        <v>601718</v>
      </c>
      <c r="K154" s="34">
        <f t="shared" si="121"/>
        <v>3894916.7299999995</v>
      </c>
      <c r="M154"/>
      <c r="N154"/>
      <c r="O154"/>
      <c r="P154"/>
      <c r="Q154"/>
      <c r="R154"/>
      <c r="S154"/>
    </row>
    <row r="155" spans="1:19" s="12" customFormat="1" x14ac:dyDescent="0.25">
      <c r="A155" s="29"/>
      <c r="B155" s="35"/>
      <c r="C155" s="36">
        <v>32200</v>
      </c>
      <c r="D155" s="37" t="s">
        <v>135</v>
      </c>
      <c r="E155" s="38"/>
      <c r="F155" s="39">
        <f t="shared" ref="F155:K155" si="122">SUM(F156)</f>
        <v>1640655.9</v>
      </c>
      <c r="G155" s="39">
        <f t="shared" si="122"/>
        <v>0</v>
      </c>
      <c r="H155" s="39">
        <f t="shared" si="122"/>
        <v>1640655.9</v>
      </c>
      <c r="I155" s="39">
        <f t="shared" si="122"/>
        <v>679623.6</v>
      </c>
      <c r="J155" s="39">
        <f t="shared" si="122"/>
        <v>601718</v>
      </c>
      <c r="K155" s="39">
        <f t="shared" si="122"/>
        <v>961032.29999999993</v>
      </c>
      <c r="M155"/>
      <c r="N155"/>
      <c r="O155"/>
      <c r="P155"/>
      <c r="Q155"/>
      <c r="R155"/>
      <c r="S155"/>
    </row>
    <row r="156" spans="1:19" s="12" customFormat="1" x14ac:dyDescent="0.25">
      <c r="A156" s="29"/>
      <c r="B156" s="40"/>
      <c r="C156" s="35"/>
      <c r="D156" s="41">
        <v>32201</v>
      </c>
      <c r="E156" s="42" t="s">
        <v>136</v>
      </c>
      <c r="F156" s="43">
        <f>3436451-1795795.1</f>
        <v>1640655.9</v>
      </c>
      <c r="G156" s="43"/>
      <c r="H156" s="43">
        <f t="shared" si="115"/>
        <v>1640655.9</v>
      </c>
      <c r="I156" s="43">
        <v>679623.6</v>
      </c>
      <c r="J156" s="43">
        <f>679623.6-77905.6</f>
        <v>601718</v>
      </c>
      <c r="K156" s="28">
        <f t="shared" si="116"/>
        <v>961032.29999999993</v>
      </c>
      <c r="M156"/>
      <c r="N156"/>
      <c r="O156"/>
      <c r="P156"/>
      <c r="Q156"/>
      <c r="R156"/>
      <c r="S156"/>
    </row>
    <row r="157" spans="1:19" s="12" customFormat="1" x14ac:dyDescent="0.25">
      <c r="A157" s="29"/>
      <c r="B157" s="35"/>
      <c r="C157" s="36">
        <v>32300</v>
      </c>
      <c r="D157" s="37" t="s">
        <v>137</v>
      </c>
      <c r="E157" s="38"/>
      <c r="F157" s="39">
        <f t="shared" ref="F157" si="123">SUM(F158)</f>
        <v>1579537.02</v>
      </c>
      <c r="G157" s="39">
        <f t="shared" ref="G157:K157" si="124">SUM(G158)</f>
        <v>0</v>
      </c>
      <c r="H157" s="39">
        <f t="shared" si="124"/>
        <v>1579537.02</v>
      </c>
      <c r="I157" s="39">
        <f t="shared" si="124"/>
        <v>252496.71</v>
      </c>
      <c r="J157" s="39">
        <f t="shared" si="124"/>
        <v>0</v>
      </c>
      <c r="K157" s="39">
        <f t="shared" si="124"/>
        <v>1327040.31</v>
      </c>
      <c r="M157"/>
      <c r="N157"/>
      <c r="O157"/>
      <c r="P157"/>
      <c r="Q157"/>
      <c r="R157"/>
      <c r="S157"/>
    </row>
    <row r="158" spans="1:19" s="12" customFormat="1" ht="45" x14ac:dyDescent="0.25">
      <c r="A158" s="29"/>
      <c r="B158" s="40"/>
      <c r="C158" s="35"/>
      <c r="D158" s="41">
        <v>32301</v>
      </c>
      <c r="E158" s="42" t="s">
        <v>138</v>
      </c>
      <c r="F158" s="43">
        <f>5706931-4127393.98</f>
        <v>1579537.02</v>
      </c>
      <c r="G158" s="43"/>
      <c r="H158" s="43">
        <f t="shared" si="115"/>
        <v>1579537.02</v>
      </c>
      <c r="I158" s="43">
        <v>252496.71</v>
      </c>
      <c r="J158" s="43"/>
      <c r="K158" s="28">
        <f t="shared" si="116"/>
        <v>1327040.31</v>
      </c>
      <c r="M158"/>
      <c r="N158"/>
      <c r="O158"/>
      <c r="P158"/>
      <c r="Q158"/>
      <c r="R158"/>
      <c r="S158"/>
    </row>
    <row r="159" spans="1:19" s="12" customFormat="1" x14ac:dyDescent="0.25">
      <c r="A159" s="29"/>
      <c r="B159" s="35"/>
      <c r="C159" s="36">
        <v>32700</v>
      </c>
      <c r="D159" s="37" t="s">
        <v>139</v>
      </c>
      <c r="E159" s="38"/>
      <c r="F159" s="39">
        <f t="shared" ref="F159" si="125">SUM(F160)</f>
        <v>1466154.24</v>
      </c>
      <c r="G159" s="39">
        <f t="shared" ref="G159:K159" si="126">SUM(G160)</f>
        <v>0</v>
      </c>
      <c r="H159" s="39">
        <f t="shared" si="126"/>
        <v>1466154.24</v>
      </c>
      <c r="I159" s="39">
        <f t="shared" si="126"/>
        <v>0</v>
      </c>
      <c r="J159" s="39">
        <f t="shared" si="126"/>
        <v>0</v>
      </c>
      <c r="K159" s="39">
        <f t="shared" si="126"/>
        <v>1466154.24</v>
      </c>
      <c r="M159"/>
      <c r="N159"/>
      <c r="O159"/>
      <c r="P159"/>
      <c r="Q159"/>
      <c r="R159"/>
      <c r="S159"/>
    </row>
    <row r="160" spans="1:19" s="12" customFormat="1" x14ac:dyDescent="0.25">
      <c r="A160" s="29"/>
      <c r="B160" s="40"/>
      <c r="C160" s="35"/>
      <c r="D160" s="41">
        <v>32701</v>
      </c>
      <c r="E160" s="42" t="s">
        <v>139</v>
      </c>
      <c r="F160" s="43">
        <v>1466154.24</v>
      </c>
      <c r="G160" s="43"/>
      <c r="H160" s="43">
        <f t="shared" si="115"/>
        <v>1466154.24</v>
      </c>
      <c r="I160" s="43"/>
      <c r="J160" s="43"/>
      <c r="K160" s="28">
        <f t="shared" si="116"/>
        <v>1466154.24</v>
      </c>
      <c r="M160"/>
      <c r="N160"/>
      <c r="O160"/>
      <c r="P160"/>
      <c r="Q160"/>
      <c r="R160"/>
      <c r="S160"/>
    </row>
    <row r="161" spans="1:19" s="12" customFormat="1" x14ac:dyDescent="0.25">
      <c r="A161" s="29"/>
      <c r="B161" s="35"/>
      <c r="C161" s="36">
        <v>32900</v>
      </c>
      <c r="D161" s="37" t="s">
        <v>140</v>
      </c>
      <c r="E161" s="38"/>
      <c r="F161" s="39">
        <f t="shared" ref="F161:K161" si="127">SUM(F162)</f>
        <v>148229.88</v>
      </c>
      <c r="G161" s="39">
        <f t="shared" si="127"/>
        <v>0</v>
      </c>
      <c r="H161" s="39">
        <f t="shared" si="127"/>
        <v>148229.88</v>
      </c>
      <c r="I161" s="39">
        <f t="shared" si="127"/>
        <v>7540</v>
      </c>
      <c r="J161" s="39">
        <f t="shared" si="127"/>
        <v>0</v>
      </c>
      <c r="K161" s="39">
        <f t="shared" si="127"/>
        <v>140689.88</v>
      </c>
      <c r="M161"/>
      <c r="N161"/>
      <c r="O161"/>
      <c r="P161"/>
      <c r="Q161"/>
      <c r="R161"/>
      <c r="S161"/>
    </row>
    <row r="162" spans="1:19" s="12" customFormat="1" x14ac:dyDescent="0.25">
      <c r="A162" s="29"/>
      <c r="B162" s="40"/>
      <c r="C162" s="35"/>
      <c r="D162" s="41">
        <v>32901</v>
      </c>
      <c r="E162" s="42" t="s">
        <v>140</v>
      </c>
      <c r="F162" s="43">
        <v>148229.88</v>
      </c>
      <c r="G162" s="43"/>
      <c r="H162" s="43">
        <f t="shared" si="115"/>
        <v>148229.88</v>
      </c>
      <c r="I162" s="43">
        <v>7540</v>
      </c>
      <c r="J162" s="43"/>
      <c r="K162" s="28">
        <f t="shared" si="116"/>
        <v>140689.88</v>
      </c>
      <c r="M162"/>
      <c r="N162"/>
      <c r="O162"/>
      <c r="P162"/>
      <c r="Q162"/>
      <c r="R162"/>
      <c r="S162"/>
    </row>
    <row r="163" spans="1:19" s="12" customFormat="1" x14ac:dyDescent="0.25">
      <c r="A163" s="29"/>
      <c r="B163" s="30">
        <v>33000</v>
      </c>
      <c r="C163" s="31" t="s">
        <v>141</v>
      </c>
      <c r="D163" s="32"/>
      <c r="E163" s="33"/>
      <c r="F163" s="34">
        <f t="shared" ref="F163:K163" si="128">SUM(F164,F166,F168,F170,F174)</f>
        <v>2829768.4299999997</v>
      </c>
      <c r="G163" s="34">
        <f t="shared" si="128"/>
        <v>0</v>
      </c>
      <c r="H163" s="34">
        <f t="shared" si="128"/>
        <v>2829768.4299999997</v>
      </c>
      <c r="I163" s="34">
        <f t="shared" si="128"/>
        <v>170494.37999999998</v>
      </c>
      <c r="J163" s="34">
        <f t="shared" si="128"/>
        <v>134839.37</v>
      </c>
      <c r="K163" s="34">
        <f t="shared" si="128"/>
        <v>2659274.0499999998</v>
      </c>
      <c r="M163"/>
      <c r="N163"/>
      <c r="O163"/>
      <c r="P163"/>
      <c r="Q163"/>
      <c r="R163"/>
      <c r="S163"/>
    </row>
    <row r="164" spans="1:19" s="12" customFormat="1" x14ac:dyDescent="0.25">
      <c r="A164" s="29"/>
      <c r="B164" s="35"/>
      <c r="C164" s="36">
        <v>33100</v>
      </c>
      <c r="D164" s="37" t="s">
        <v>142</v>
      </c>
      <c r="E164" s="38"/>
      <c r="F164" s="39">
        <f t="shared" ref="F164:K164" si="129">SUM(F165)</f>
        <v>35895.5</v>
      </c>
      <c r="G164" s="39">
        <f t="shared" si="129"/>
        <v>0</v>
      </c>
      <c r="H164" s="39">
        <f t="shared" si="129"/>
        <v>35895.5</v>
      </c>
      <c r="I164" s="39">
        <f t="shared" si="129"/>
        <v>0</v>
      </c>
      <c r="J164" s="39">
        <f t="shared" si="129"/>
        <v>0</v>
      </c>
      <c r="K164" s="39">
        <f t="shared" si="129"/>
        <v>35895.5</v>
      </c>
      <c r="M164"/>
      <c r="N164"/>
      <c r="O164"/>
      <c r="P164"/>
      <c r="Q164"/>
      <c r="R164"/>
      <c r="S164"/>
    </row>
    <row r="165" spans="1:19" s="12" customFormat="1" ht="30" x14ac:dyDescent="0.25">
      <c r="A165" s="29"/>
      <c r="B165" s="40"/>
      <c r="C165" s="35"/>
      <c r="D165" s="41">
        <v>33101</v>
      </c>
      <c r="E165" s="42" t="s">
        <v>143</v>
      </c>
      <c r="F165" s="43">
        <v>35895.5</v>
      </c>
      <c r="G165" s="43"/>
      <c r="H165" s="43">
        <f t="shared" si="115"/>
        <v>35895.5</v>
      </c>
      <c r="I165" s="43"/>
      <c r="J165" s="43"/>
      <c r="K165" s="28">
        <f t="shared" si="116"/>
        <v>35895.5</v>
      </c>
      <c r="M165"/>
      <c r="N165"/>
      <c r="O165"/>
      <c r="P165"/>
      <c r="Q165"/>
      <c r="R165"/>
      <c r="S165"/>
    </row>
    <row r="166" spans="1:19" s="12" customFormat="1" hidden="1" x14ac:dyDescent="0.25">
      <c r="A166" s="29"/>
      <c r="B166" s="35"/>
      <c r="C166" s="36">
        <v>33200</v>
      </c>
      <c r="D166" s="37" t="s">
        <v>144</v>
      </c>
      <c r="E166" s="38"/>
      <c r="F166" s="39">
        <f t="shared" ref="F166:K166" si="130">SUM(F167)</f>
        <v>0</v>
      </c>
      <c r="G166" s="39">
        <f t="shared" si="130"/>
        <v>0</v>
      </c>
      <c r="H166" s="39">
        <f t="shared" si="130"/>
        <v>0</v>
      </c>
      <c r="I166" s="39">
        <f t="shared" si="130"/>
        <v>0</v>
      </c>
      <c r="J166" s="39">
        <f t="shared" si="130"/>
        <v>0</v>
      </c>
      <c r="K166" s="39">
        <f t="shared" si="130"/>
        <v>0</v>
      </c>
      <c r="M166"/>
      <c r="N166"/>
      <c r="O166"/>
      <c r="P166"/>
      <c r="Q166"/>
      <c r="R166"/>
      <c r="S166"/>
    </row>
    <row r="167" spans="1:19" s="12" customFormat="1" ht="30" hidden="1" x14ac:dyDescent="0.25">
      <c r="A167" s="29"/>
      <c r="B167" s="40"/>
      <c r="C167" s="35"/>
      <c r="D167" s="41">
        <v>33201</v>
      </c>
      <c r="E167" s="42" t="s">
        <v>145</v>
      </c>
      <c r="F167" s="43"/>
      <c r="G167" s="43"/>
      <c r="H167" s="43">
        <f t="shared" si="115"/>
        <v>0</v>
      </c>
      <c r="I167" s="43"/>
      <c r="J167" s="43"/>
      <c r="K167" s="28">
        <f t="shared" si="116"/>
        <v>0</v>
      </c>
      <c r="M167"/>
      <c r="N167"/>
      <c r="O167"/>
      <c r="P167"/>
      <c r="Q167"/>
      <c r="R167"/>
      <c r="S167"/>
    </row>
    <row r="168" spans="1:19" s="12" customFormat="1" hidden="1" x14ac:dyDescent="0.25">
      <c r="A168" s="29"/>
      <c r="B168" s="35"/>
      <c r="C168" s="36">
        <v>33400</v>
      </c>
      <c r="D168" s="37" t="s">
        <v>146</v>
      </c>
      <c r="E168" s="38"/>
      <c r="F168" s="39">
        <f t="shared" ref="F168:K168" si="131">SUM(F169)</f>
        <v>0</v>
      </c>
      <c r="G168" s="39">
        <f t="shared" si="131"/>
        <v>0</v>
      </c>
      <c r="H168" s="39">
        <f t="shared" si="131"/>
        <v>0</v>
      </c>
      <c r="I168" s="39">
        <f t="shared" si="131"/>
        <v>0</v>
      </c>
      <c r="J168" s="39">
        <f t="shared" si="131"/>
        <v>0</v>
      </c>
      <c r="K168" s="39">
        <f t="shared" si="131"/>
        <v>0</v>
      </c>
      <c r="M168"/>
      <c r="N168"/>
      <c r="O168"/>
      <c r="P168"/>
      <c r="Q168"/>
      <c r="R168"/>
      <c r="S168"/>
    </row>
    <row r="169" spans="1:19" s="12" customFormat="1" hidden="1" x14ac:dyDescent="0.25">
      <c r="A169" s="29"/>
      <c r="B169" s="40"/>
      <c r="C169" s="35"/>
      <c r="D169" s="41">
        <v>33401</v>
      </c>
      <c r="E169" s="42" t="s">
        <v>146</v>
      </c>
      <c r="F169" s="43"/>
      <c r="G169" s="43"/>
      <c r="H169" s="43">
        <f t="shared" si="115"/>
        <v>0</v>
      </c>
      <c r="I169" s="43"/>
      <c r="J169" s="43"/>
      <c r="K169" s="28">
        <f t="shared" si="116"/>
        <v>0</v>
      </c>
      <c r="M169"/>
      <c r="N169"/>
      <c r="O169"/>
      <c r="P169"/>
      <c r="Q169"/>
      <c r="R169"/>
      <c r="S169"/>
    </row>
    <row r="170" spans="1:19" s="12" customFormat="1" x14ac:dyDescent="0.25">
      <c r="A170" s="29"/>
      <c r="B170" s="35"/>
      <c r="C170" s="36">
        <v>33600</v>
      </c>
      <c r="D170" s="37" t="s">
        <v>147</v>
      </c>
      <c r="E170" s="38"/>
      <c r="F170" s="39">
        <f t="shared" ref="F170:K170" si="132">SUM(F171:F173)</f>
        <v>567362.75</v>
      </c>
      <c r="G170" s="39">
        <f t="shared" si="132"/>
        <v>0</v>
      </c>
      <c r="H170" s="39">
        <f t="shared" si="132"/>
        <v>567362.75</v>
      </c>
      <c r="I170" s="39">
        <f t="shared" si="132"/>
        <v>170494.37999999998</v>
      </c>
      <c r="J170" s="39">
        <f t="shared" si="132"/>
        <v>134839.37</v>
      </c>
      <c r="K170" s="39">
        <f t="shared" si="132"/>
        <v>396868.37000000011</v>
      </c>
      <c r="M170"/>
      <c r="N170"/>
      <c r="O170"/>
      <c r="P170"/>
      <c r="Q170"/>
      <c r="R170"/>
      <c r="S170"/>
    </row>
    <row r="171" spans="1:19" s="12" customFormat="1" ht="30" x14ac:dyDescent="0.25">
      <c r="A171" s="29"/>
      <c r="B171" s="40"/>
      <c r="C171" s="35"/>
      <c r="D171" s="41">
        <v>33601</v>
      </c>
      <c r="E171" s="42" t="s">
        <v>148</v>
      </c>
      <c r="F171" s="43">
        <v>13289.64</v>
      </c>
      <c r="G171" s="43"/>
      <c r="H171" s="43">
        <f t="shared" si="115"/>
        <v>13289.64</v>
      </c>
      <c r="I171" s="43">
        <v>712.8</v>
      </c>
      <c r="J171" s="43"/>
      <c r="K171" s="28">
        <f t="shared" si="116"/>
        <v>12576.84</v>
      </c>
      <c r="M171"/>
      <c r="N171"/>
      <c r="O171"/>
      <c r="P171"/>
      <c r="Q171"/>
      <c r="R171"/>
      <c r="S171"/>
    </row>
    <row r="172" spans="1:19" s="12" customFormat="1" x14ac:dyDescent="0.25">
      <c r="A172" s="29"/>
      <c r="B172" s="40"/>
      <c r="C172" s="35"/>
      <c r="D172" s="41">
        <v>33602</v>
      </c>
      <c r="E172" s="42" t="s">
        <v>149</v>
      </c>
      <c r="F172" s="43">
        <v>27601.43</v>
      </c>
      <c r="G172" s="43"/>
      <c r="H172" s="43">
        <f t="shared" si="115"/>
        <v>27601.43</v>
      </c>
      <c r="I172" s="43">
        <v>2233</v>
      </c>
      <c r="J172" s="43">
        <v>2233</v>
      </c>
      <c r="K172" s="28">
        <f t="shared" si="116"/>
        <v>25368.43</v>
      </c>
      <c r="M172"/>
      <c r="N172"/>
      <c r="O172"/>
      <c r="P172"/>
      <c r="Q172"/>
      <c r="R172"/>
      <c r="S172"/>
    </row>
    <row r="173" spans="1:19" s="12" customFormat="1" x14ac:dyDescent="0.25">
      <c r="A173" s="29"/>
      <c r="B173" s="40"/>
      <c r="C173" s="35"/>
      <c r="D173" s="41">
        <v>33604</v>
      </c>
      <c r="E173" s="42" t="s">
        <v>150</v>
      </c>
      <c r="F173" s="43">
        <v>526471.68000000005</v>
      </c>
      <c r="G173" s="43"/>
      <c r="H173" s="43">
        <f t="shared" si="115"/>
        <v>526471.68000000005</v>
      </c>
      <c r="I173" s="43">
        <v>167548.57999999999</v>
      </c>
      <c r="J173" s="43">
        <v>132606.37</v>
      </c>
      <c r="K173" s="28">
        <f t="shared" si="116"/>
        <v>358923.10000000009</v>
      </c>
      <c r="M173"/>
      <c r="N173"/>
      <c r="O173"/>
      <c r="P173"/>
      <c r="Q173"/>
      <c r="R173"/>
      <c r="S173"/>
    </row>
    <row r="174" spans="1:19" s="12" customFormat="1" x14ac:dyDescent="0.25">
      <c r="A174" s="29"/>
      <c r="B174" s="35"/>
      <c r="C174" s="36">
        <v>33800</v>
      </c>
      <c r="D174" s="37" t="s">
        <v>151</v>
      </c>
      <c r="E174" s="38"/>
      <c r="F174" s="39">
        <f t="shared" ref="F174" si="133">SUM(F175)</f>
        <v>2226510.1799999997</v>
      </c>
      <c r="G174" s="39">
        <f t="shared" ref="G174:K174" si="134">SUM(G175)</f>
        <v>0</v>
      </c>
      <c r="H174" s="39">
        <f t="shared" si="134"/>
        <v>2226510.1799999997</v>
      </c>
      <c r="I174" s="39">
        <f t="shared" si="134"/>
        <v>0</v>
      </c>
      <c r="J174" s="39">
        <f t="shared" si="134"/>
        <v>0</v>
      </c>
      <c r="K174" s="39">
        <f t="shared" si="134"/>
        <v>2226510.1799999997</v>
      </c>
      <c r="M174"/>
      <c r="N174"/>
      <c r="O174"/>
      <c r="P174"/>
      <c r="Q174"/>
      <c r="R174"/>
      <c r="S174"/>
    </row>
    <row r="175" spans="1:19" s="12" customFormat="1" x14ac:dyDescent="0.25">
      <c r="A175" s="29"/>
      <c r="B175" s="40"/>
      <c r="C175" s="35"/>
      <c r="D175" s="41">
        <v>33801</v>
      </c>
      <c r="E175" s="42" t="s">
        <v>152</v>
      </c>
      <c r="F175" s="43">
        <f>6432905-4206394.82</f>
        <v>2226510.1799999997</v>
      </c>
      <c r="G175" s="43"/>
      <c r="H175" s="43">
        <f t="shared" si="115"/>
        <v>2226510.1799999997</v>
      </c>
      <c r="I175" s="43"/>
      <c r="J175" s="43"/>
      <c r="K175" s="28">
        <f t="shared" si="116"/>
        <v>2226510.1799999997</v>
      </c>
      <c r="M175"/>
      <c r="N175"/>
      <c r="O175"/>
      <c r="P175"/>
      <c r="Q175"/>
      <c r="R175"/>
      <c r="S175"/>
    </row>
    <row r="176" spans="1:19" s="12" customFormat="1" x14ac:dyDescent="0.25">
      <c r="A176" s="29"/>
      <c r="B176" s="30">
        <v>34000</v>
      </c>
      <c r="C176" s="31" t="s">
        <v>153</v>
      </c>
      <c r="D176" s="32"/>
      <c r="E176" s="33"/>
      <c r="F176" s="34">
        <f>SUM(F177,F182,F184)</f>
        <v>713633</v>
      </c>
      <c r="G176" s="34">
        <f t="shared" ref="G176:K176" si="135">SUM(G177,G180,G182,G184)</f>
        <v>0</v>
      </c>
      <c r="H176" s="34">
        <f t="shared" si="135"/>
        <v>713633</v>
      </c>
      <c r="I176" s="34">
        <f t="shared" si="135"/>
        <v>193046.75</v>
      </c>
      <c r="J176" s="34">
        <f t="shared" si="135"/>
        <v>193046.75</v>
      </c>
      <c r="K176" s="34">
        <f t="shared" si="135"/>
        <v>520586.25</v>
      </c>
      <c r="M176"/>
      <c r="N176"/>
      <c r="O176"/>
      <c r="P176"/>
      <c r="Q176"/>
      <c r="R176"/>
      <c r="S176"/>
    </row>
    <row r="177" spans="1:19" s="12" customFormat="1" x14ac:dyDescent="0.25">
      <c r="A177" s="29"/>
      <c r="B177" s="35"/>
      <c r="C177" s="36">
        <v>34100</v>
      </c>
      <c r="D177" s="37" t="s">
        <v>154</v>
      </c>
      <c r="E177" s="38"/>
      <c r="F177" s="39">
        <f t="shared" ref="F177:K177" si="136">SUM(F178:F179)</f>
        <v>36886.94</v>
      </c>
      <c r="G177" s="39">
        <f t="shared" si="136"/>
        <v>0</v>
      </c>
      <c r="H177" s="39">
        <f t="shared" si="136"/>
        <v>36886.94</v>
      </c>
      <c r="I177" s="39">
        <f t="shared" si="136"/>
        <v>5749.63</v>
      </c>
      <c r="J177" s="39">
        <f t="shared" si="136"/>
        <v>5749.63</v>
      </c>
      <c r="K177" s="39">
        <f t="shared" si="136"/>
        <v>31137.309999999998</v>
      </c>
      <c r="M177"/>
      <c r="N177"/>
      <c r="O177"/>
      <c r="P177"/>
      <c r="Q177"/>
      <c r="R177"/>
      <c r="S177"/>
    </row>
    <row r="178" spans="1:19" s="12" customFormat="1" ht="30" x14ac:dyDescent="0.25">
      <c r="A178" s="29"/>
      <c r="B178" s="40"/>
      <c r="C178" s="35"/>
      <c r="D178" s="41">
        <v>34101</v>
      </c>
      <c r="E178" s="42" t="s">
        <v>155</v>
      </c>
      <c r="F178" s="43">
        <v>10222.799999999999</v>
      </c>
      <c r="G178" s="43"/>
      <c r="H178" s="43">
        <f t="shared" si="115"/>
        <v>10222.799999999999</v>
      </c>
      <c r="I178" s="43">
        <v>5749.63</v>
      </c>
      <c r="J178" s="43">
        <v>5749.63</v>
      </c>
      <c r="K178" s="28">
        <f t="shared" si="116"/>
        <v>4473.1699999999992</v>
      </c>
      <c r="M178"/>
      <c r="N178"/>
      <c r="O178"/>
      <c r="P178"/>
      <c r="Q178"/>
      <c r="R178"/>
      <c r="S178"/>
    </row>
    <row r="179" spans="1:19" s="12" customFormat="1" ht="30" x14ac:dyDescent="0.25">
      <c r="A179" s="29"/>
      <c r="B179" s="40"/>
      <c r="C179" s="35"/>
      <c r="D179" s="52">
        <v>34102</v>
      </c>
      <c r="E179" s="51" t="s">
        <v>156</v>
      </c>
      <c r="F179" s="43">
        <v>26664.14</v>
      </c>
      <c r="G179" s="43"/>
      <c r="H179" s="43">
        <f t="shared" si="115"/>
        <v>26664.14</v>
      </c>
      <c r="I179" s="43"/>
      <c r="J179" s="43"/>
      <c r="K179" s="28">
        <f t="shared" si="116"/>
        <v>26664.14</v>
      </c>
      <c r="M179"/>
      <c r="N179"/>
      <c r="O179"/>
      <c r="P179"/>
      <c r="Q179"/>
      <c r="R179"/>
      <c r="S179"/>
    </row>
    <row r="180" spans="1:19" s="12" customFormat="1" hidden="1" x14ac:dyDescent="0.25">
      <c r="A180" s="29"/>
      <c r="B180" s="35"/>
      <c r="C180" s="36">
        <v>34300</v>
      </c>
      <c r="D180" s="37" t="s">
        <v>157</v>
      </c>
      <c r="E180" s="38"/>
      <c r="F180" s="39"/>
      <c r="G180" s="39">
        <f t="shared" ref="G180:K180" si="137">SUM(G181)</f>
        <v>0</v>
      </c>
      <c r="H180" s="39">
        <f t="shared" si="137"/>
        <v>0</v>
      </c>
      <c r="I180" s="39">
        <f t="shared" si="137"/>
        <v>0</v>
      </c>
      <c r="J180" s="39">
        <f t="shared" si="137"/>
        <v>0</v>
      </c>
      <c r="K180" s="39">
        <f t="shared" si="137"/>
        <v>0</v>
      </c>
      <c r="M180"/>
      <c r="N180"/>
      <c r="O180"/>
      <c r="P180"/>
      <c r="Q180"/>
      <c r="R180"/>
      <c r="S180"/>
    </row>
    <row r="181" spans="1:19" s="12" customFormat="1" hidden="1" x14ac:dyDescent="0.25">
      <c r="A181" s="29"/>
      <c r="B181" s="40"/>
      <c r="C181" s="35"/>
      <c r="D181" s="41">
        <v>34302</v>
      </c>
      <c r="E181" s="42" t="s">
        <v>158</v>
      </c>
      <c r="F181" s="43"/>
      <c r="G181" s="43"/>
      <c r="H181" s="43">
        <f t="shared" si="115"/>
        <v>0</v>
      </c>
      <c r="I181" s="43"/>
      <c r="J181" s="43"/>
      <c r="K181" s="28">
        <f t="shared" si="116"/>
        <v>0</v>
      </c>
      <c r="M181"/>
      <c r="N181"/>
      <c r="O181"/>
      <c r="P181"/>
      <c r="Q181"/>
      <c r="R181"/>
      <c r="S181"/>
    </row>
    <row r="182" spans="1:19" s="12" customFormat="1" x14ac:dyDescent="0.25">
      <c r="A182" s="29"/>
      <c r="B182" s="35"/>
      <c r="C182" s="36">
        <v>34400</v>
      </c>
      <c r="D182" s="37" t="s">
        <v>159</v>
      </c>
      <c r="E182" s="38"/>
      <c r="F182" s="39">
        <f t="shared" ref="F182:K182" si="138">SUM(F183)</f>
        <v>12267.3</v>
      </c>
      <c r="G182" s="39">
        <f t="shared" si="138"/>
        <v>0</v>
      </c>
      <c r="H182" s="39">
        <f t="shared" si="138"/>
        <v>12267.3</v>
      </c>
      <c r="I182" s="39">
        <f t="shared" si="138"/>
        <v>0</v>
      </c>
      <c r="J182" s="39">
        <f t="shared" si="138"/>
        <v>0</v>
      </c>
      <c r="K182" s="39">
        <f t="shared" si="138"/>
        <v>12267.3</v>
      </c>
      <c r="M182"/>
      <c r="N182"/>
      <c r="O182"/>
      <c r="P182"/>
      <c r="Q182"/>
      <c r="R182"/>
      <c r="S182"/>
    </row>
    <row r="183" spans="1:19" s="12" customFormat="1" ht="30" x14ac:dyDescent="0.25">
      <c r="A183" s="29"/>
      <c r="B183" s="40"/>
      <c r="C183" s="35"/>
      <c r="D183" s="41">
        <v>34401</v>
      </c>
      <c r="E183" s="42" t="s">
        <v>159</v>
      </c>
      <c r="F183" s="43">
        <v>12267.3</v>
      </c>
      <c r="G183" s="43"/>
      <c r="H183" s="43">
        <f t="shared" si="115"/>
        <v>12267.3</v>
      </c>
      <c r="I183" s="43"/>
      <c r="J183" s="43"/>
      <c r="K183" s="28">
        <f t="shared" si="116"/>
        <v>12267.3</v>
      </c>
      <c r="M183"/>
      <c r="N183"/>
      <c r="O183"/>
      <c r="P183"/>
      <c r="Q183"/>
      <c r="R183"/>
      <c r="S183"/>
    </row>
    <row r="184" spans="1:19" s="12" customFormat="1" x14ac:dyDescent="0.25">
      <c r="A184" s="29"/>
      <c r="B184" s="35"/>
      <c r="C184" s="36">
        <v>34500</v>
      </c>
      <c r="D184" s="37" t="s">
        <v>160</v>
      </c>
      <c r="E184" s="38"/>
      <c r="F184" s="39">
        <f t="shared" ref="F184:K184" si="139">SUM(F185)</f>
        <v>664478.76</v>
      </c>
      <c r="G184" s="39">
        <f t="shared" si="139"/>
        <v>0</v>
      </c>
      <c r="H184" s="39">
        <f t="shared" si="139"/>
        <v>664478.76</v>
      </c>
      <c r="I184" s="39">
        <f t="shared" si="139"/>
        <v>187297.12</v>
      </c>
      <c r="J184" s="39">
        <f t="shared" si="139"/>
        <v>187297.12</v>
      </c>
      <c r="K184" s="39">
        <f t="shared" si="139"/>
        <v>477181.64</v>
      </c>
      <c r="M184"/>
      <c r="N184"/>
      <c r="O184"/>
      <c r="P184"/>
      <c r="Q184"/>
      <c r="R184"/>
      <c r="S184"/>
    </row>
    <row r="185" spans="1:19" s="12" customFormat="1" x14ac:dyDescent="0.25">
      <c r="A185" s="29"/>
      <c r="B185" s="40"/>
      <c r="C185" s="35"/>
      <c r="D185" s="41">
        <v>34501</v>
      </c>
      <c r="E185" s="42" t="s">
        <v>161</v>
      </c>
      <c r="F185" s="43">
        <v>664478.76</v>
      </c>
      <c r="G185" s="43"/>
      <c r="H185" s="43">
        <f t="shared" si="115"/>
        <v>664478.76</v>
      </c>
      <c r="I185" s="43">
        <v>187297.12</v>
      </c>
      <c r="J185" s="43">
        <v>187297.12</v>
      </c>
      <c r="K185" s="28">
        <f t="shared" si="116"/>
        <v>477181.64</v>
      </c>
      <c r="M185"/>
      <c r="N185"/>
      <c r="O185"/>
      <c r="P185"/>
      <c r="Q185"/>
      <c r="R185"/>
      <c r="S185"/>
    </row>
    <row r="186" spans="1:19" s="12" customFormat="1" x14ac:dyDescent="0.25">
      <c r="A186" s="29"/>
      <c r="B186" s="30">
        <v>35000</v>
      </c>
      <c r="C186" s="31" t="s">
        <v>162</v>
      </c>
      <c r="D186" s="32"/>
      <c r="E186" s="33"/>
      <c r="F186" s="34">
        <f>SUM(F187,F189,F191,F193,F195,F197,F202,F206)</f>
        <v>7320641.2300000004</v>
      </c>
      <c r="G186" s="34">
        <f t="shared" ref="G186:K186" si="140">SUM(G187,G189,G191,G193,G195,G197,G202,G206)</f>
        <v>0</v>
      </c>
      <c r="H186" s="34">
        <f t="shared" si="140"/>
        <v>7320641.2300000004</v>
      </c>
      <c r="I186" s="34">
        <f t="shared" si="140"/>
        <v>341123.83999999997</v>
      </c>
      <c r="J186" s="34">
        <f t="shared" si="140"/>
        <v>49723.77</v>
      </c>
      <c r="K186" s="34">
        <f t="shared" si="140"/>
        <v>6979517.3900000006</v>
      </c>
      <c r="M186"/>
      <c r="N186"/>
      <c r="O186"/>
      <c r="P186"/>
      <c r="Q186"/>
      <c r="R186"/>
      <c r="S186"/>
    </row>
    <row r="187" spans="1:19" s="12" customFormat="1" x14ac:dyDescent="0.25">
      <c r="A187" s="29"/>
      <c r="B187" s="35"/>
      <c r="C187" s="36">
        <v>35100</v>
      </c>
      <c r="D187" s="37" t="s">
        <v>163</v>
      </c>
      <c r="E187" s="38"/>
      <c r="F187" s="39">
        <f t="shared" ref="F187:K187" si="141">SUM(F188)</f>
        <v>1496761.5</v>
      </c>
      <c r="G187" s="39">
        <f t="shared" si="141"/>
        <v>0</v>
      </c>
      <c r="H187" s="39">
        <f t="shared" si="141"/>
        <v>1496761.5</v>
      </c>
      <c r="I187" s="39">
        <f t="shared" si="141"/>
        <v>65207.03</v>
      </c>
      <c r="J187" s="39">
        <f t="shared" si="141"/>
        <v>33121.18</v>
      </c>
      <c r="K187" s="39">
        <f t="shared" si="141"/>
        <v>1431554.47</v>
      </c>
      <c r="M187"/>
      <c r="N187"/>
      <c r="O187"/>
      <c r="P187"/>
      <c r="Q187"/>
      <c r="R187"/>
      <c r="S187"/>
    </row>
    <row r="188" spans="1:19" s="12" customFormat="1" ht="30" x14ac:dyDescent="0.25">
      <c r="A188" s="29"/>
      <c r="B188" s="40"/>
      <c r="C188" s="35"/>
      <c r="D188" s="41">
        <v>35101</v>
      </c>
      <c r="E188" s="42" t="s">
        <v>164</v>
      </c>
      <c r="F188" s="43">
        <v>1496761.5</v>
      </c>
      <c r="G188" s="43"/>
      <c r="H188" s="43">
        <f t="shared" si="115"/>
        <v>1496761.5</v>
      </c>
      <c r="I188" s="43">
        <v>65207.03</v>
      </c>
      <c r="J188" s="43">
        <f>65207.03-32085.85</f>
        <v>33121.18</v>
      </c>
      <c r="K188" s="28">
        <f t="shared" si="116"/>
        <v>1431554.47</v>
      </c>
      <c r="M188"/>
      <c r="N188"/>
      <c r="O188"/>
      <c r="P188"/>
      <c r="Q188"/>
      <c r="R188"/>
      <c r="S188"/>
    </row>
    <row r="189" spans="1:19" s="12" customFormat="1" x14ac:dyDescent="0.25">
      <c r="A189" s="29"/>
      <c r="B189" s="35"/>
      <c r="C189" s="36">
        <v>35200</v>
      </c>
      <c r="D189" s="37" t="s">
        <v>165</v>
      </c>
      <c r="E189" s="38"/>
      <c r="F189" s="39">
        <f t="shared" ref="F189:K189" si="142">SUM(F190)</f>
        <v>76670.64</v>
      </c>
      <c r="G189" s="39">
        <f t="shared" si="142"/>
        <v>0</v>
      </c>
      <c r="H189" s="39">
        <f t="shared" si="142"/>
        <v>76670.64</v>
      </c>
      <c r="I189" s="39">
        <f t="shared" si="142"/>
        <v>8621.84</v>
      </c>
      <c r="J189" s="39">
        <f t="shared" si="142"/>
        <v>1924</v>
      </c>
      <c r="K189" s="39">
        <f t="shared" si="142"/>
        <v>68048.800000000003</v>
      </c>
      <c r="M189"/>
      <c r="N189"/>
      <c r="O189"/>
      <c r="P189"/>
      <c r="Q189"/>
      <c r="R189"/>
      <c r="S189"/>
    </row>
    <row r="190" spans="1:19" s="12" customFormat="1" ht="45" x14ac:dyDescent="0.25">
      <c r="A190" s="29"/>
      <c r="B190" s="40"/>
      <c r="C190" s="35"/>
      <c r="D190" s="41">
        <v>35201</v>
      </c>
      <c r="E190" s="42" t="s">
        <v>166</v>
      </c>
      <c r="F190" s="43">
        <v>76670.64</v>
      </c>
      <c r="G190" s="43"/>
      <c r="H190" s="43">
        <f t="shared" si="115"/>
        <v>76670.64</v>
      </c>
      <c r="I190" s="43">
        <v>8621.84</v>
      </c>
      <c r="J190" s="43">
        <v>1924</v>
      </c>
      <c r="K190" s="28">
        <f t="shared" si="116"/>
        <v>68048.800000000003</v>
      </c>
      <c r="M190"/>
      <c r="N190"/>
      <c r="O190"/>
      <c r="P190"/>
      <c r="Q190"/>
      <c r="R190"/>
      <c r="S190"/>
    </row>
    <row r="191" spans="1:19" s="12" customFormat="1" x14ac:dyDescent="0.25">
      <c r="A191" s="29"/>
      <c r="B191" s="35"/>
      <c r="C191" s="36">
        <v>35300</v>
      </c>
      <c r="D191" s="37" t="s">
        <v>167</v>
      </c>
      <c r="E191" s="38"/>
      <c r="F191" s="39">
        <f t="shared" ref="F191:K191" si="143">SUM(F192)</f>
        <v>941033.76</v>
      </c>
      <c r="G191" s="39">
        <f t="shared" si="143"/>
        <v>0</v>
      </c>
      <c r="H191" s="39">
        <f t="shared" si="143"/>
        <v>941033.76</v>
      </c>
      <c r="I191" s="39">
        <f t="shared" si="143"/>
        <v>0</v>
      </c>
      <c r="J191" s="39">
        <f t="shared" si="143"/>
        <v>0</v>
      </c>
      <c r="K191" s="39">
        <f t="shared" si="143"/>
        <v>941033.76</v>
      </c>
      <c r="M191"/>
      <c r="N191"/>
      <c r="O191"/>
      <c r="P191"/>
      <c r="Q191"/>
      <c r="R191"/>
      <c r="S191"/>
    </row>
    <row r="192" spans="1:19" s="12" customFormat="1" ht="45" x14ac:dyDescent="0.25">
      <c r="A192" s="29"/>
      <c r="B192" s="40"/>
      <c r="C192" s="35"/>
      <c r="D192" s="41">
        <v>35301</v>
      </c>
      <c r="E192" s="42" t="s">
        <v>167</v>
      </c>
      <c r="F192" s="43">
        <v>941033.76</v>
      </c>
      <c r="G192" s="43"/>
      <c r="H192" s="43">
        <f t="shared" si="115"/>
        <v>941033.76</v>
      </c>
      <c r="I192" s="43"/>
      <c r="J192" s="43"/>
      <c r="K192" s="28">
        <f t="shared" si="116"/>
        <v>941033.76</v>
      </c>
      <c r="M192"/>
      <c r="N192"/>
      <c r="O192"/>
      <c r="P192"/>
      <c r="Q192"/>
      <c r="R192"/>
      <c r="S192"/>
    </row>
    <row r="193" spans="1:19" s="12" customFormat="1" x14ac:dyDescent="0.25">
      <c r="A193" s="29"/>
      <c r="B193" s="35"/>
      <c r="C193" s="36">
        <v>35400</v>
      </c>
      <c r="D193" s="37" t="s">
        <v>168</v>
      </c>
      <c r="E193" s="38"/>
      <c r="F193" s="39">
        <f t="shared" ref="F193:K193" si="144">SUM(F194)</f>
        <v>71559.240000000005</v>
      </c>
      <c r="G193" s="39">
        <f t="shared" si="144"/>
        <v>0</v>
      </c>
      <c r="H193" s="39">
        <f t="shared" si="144"/>
        <v>71559.240000000005</v>
      </c>
      <c r="I193" s="39">
        <f t="shared" si="144"/>
        <v>0</v>
      </c>
      <c r="J193" s="39">
        <f t="shared" si="144"/>
        <v>0</v>
      </c>
      <c r="K193" s="39">
        <f t="shared" si="144"/>
        <v>71559.240000000005</v>
      </c>
      <c r="M193"/>
      <c r="N193"/>
      <c r="O193"/>
      <c r="P193"/>
      <c r="Q193"/>
      <c r="R193"/>
      <c r="S193"/>
    </row>
    <row r="194" spans="1:19" s="12" customFormat="1" ht="45" x14ac:dyDescent="0.25">
      <c r="A194" s="29"/>
      <c r="B194" s="40"/>
      <c r="C194" s="35"/>
      <c r="D194" s="41">
        <v>35401</v>
      </c>
      <c r="E194" s="42" t="s">
        <v>168</v>
      </c>
      <c r="F194" s="43">
        <v>71559.240000000005</v>
      </c>
      <c r="G194" s="43"/>
      <c r="H194" s="43">
        <f t="shared" si="115"/>
        <v>71559.240000000005</v>
      </c>
      <c r="I194" s="43"/>
      <c r="J194" s="43"/>
      <c r="K194" s="28">
        <f t="shared" si="116"/>
        <v>71559.240000000005</v>
      </c>
      <c r="M194"/>
      <c r="N194"/>
      <c r="O194"/>
      <c r="P194"/>
      <c r="Q194"/>
      <c r="R194"/>
      <c r="S194"/>
    </row>
    <row r="195" spans="1:19" s="12" customFormat="1" x14ac:dyDescent="0.25">
      <c r="A195" s="29"/>
      <c r="B195" s="35"/>
      <c r="C195" s="36">
        <v>35500</v>
      </c>
      <c r="D195" s="37" t="s">
        <v>169</v>
      </c>
      <c r="E195" s="38"/>
      <c r="F195" s="39">
        <f t="shared" ref="F195:K195" si="145">SUM(F196)</f>
        <v>339399</v>
      </c>
      <c r="G195" s="39">
        <f t="shared" si="145"/>
        <v>0</v>
      </c>
      <c r="H195" s="39">
        <f t="shared" si="145"/>
        <v>339399</v>
      </c>
      <c r="I195" s="39">
        <f t="shared" si="145"/>
        <v>69107.899999999994</v>
      </c>
      <c r="J195" s="39">
        <f t="shared" si="145"/>
        <v>14678.589999999997</v>
      </c>
      <c r="K195" s="39">
        <f t="shared" si="145"/>
        <v>270291.09999999998</v>
      </c>
      <c r="M195"/>
      <c r="N195"/>
      <c r="O195"/>
      <c r="P195"/>
      <c r="Q195"/>
      <c r="R195"/>
      <c r="S195"/>
    </row>
    <row r="196" spans="1:19" s="12" customFormat="1" ht="30" x14ac:dyDescent="0.25">
      <c r="A196" s="29"/>
      <c r="B196" s="40"/>
      <c r="C196" s="35"/>
      <c r="D196" s="41">
        <v>35501</v>
      </c>
      <c r="E196" s="42" t="s">
        <v>169</v>
      </c>
      <c r="F196" s="43">
        <v>339399</v>
      </c>
      <c r="G196" s="43"/>
      <c r="H196" s="43">
        <f t="shared" si="115"/>
        <v>339399</v>
      </c>
      <c r="I196" s="43">
        <v>69107.899999999994</v>
      </c>
      <c r="J196" s="43">
        <f>69107.9-54429.31</f>
        <v>14678.589999999997</v>
      </c>
      <c r="K196" s="28">
        <f t="shared" si="116"/>
        <v>270291.09999999998</v>
      </c>
      <c r="M196"/>
      <c r="N196"/>
      <c r="O196"/>
      <c r="P196"/>
      <c r="Q196"/>
      <c r="R196"/>
      <c r="S196"/>
    </row>
    <row r="197" spans="1:19" s="12" customFormat="1" x14ac:dyDescent="0.25">
      <c r="A197" s="29"/>
      <c r="B197" s="35"/>
      <c r="C197" s="36">
        <v>35700</v>
      </c>
      <c r="D197" s="37" t="s">
        <v>170</v>
      </c>
      <c r="E197" s="38"/>
      <c r="F197" s="39">
        <f t="shared" ref="F197" si="146">SUM(F198:F201)</f>
        <v>2243628</v>
      </c>
      <c r="G197" s="39">
        <f t="shared" ref="G197:K197" si="147">SUM(G198:G201)</f>
        <v>0</v>
      </c>
      <c r="H197" s="39">
        <f t="shared" si="147"/>
        <v>2243628</v>
      </c>
      <c r="I197" s="39">
        <f t="shared" si="147"/>
        <v>112811.07</v>
      </c>
      <c r="J197" s="39">
        <f t="shared" si="147"/>
        <v>0</v>
      </c>
      <c r="K197" s="39">
        <f t="shared" si="147"/>
        <v>2130816.9299999997</v>
      </c>
      <c r="M197"/>
      <c r="N197"/>
      <c r="O197"/>
      <c r="P197"/>
      <c r="Q197"/>
      <c r="R197"/>
      <c r="S197"/>
    </row>
    <row r="198" spans="1:19" s="12" customFormat="1" ht="45" x14ac:dyDescent="0.25">
      <c r="A198" s="29"/>
      <c r="B198" s="40"/>
      <c r="C198" s="35"/>
      <c r="D198" s="41">
        <v>35704</v>
      </c>
      <c r="E198" s="42" t="s">
        <v>171</v>
      </c>
      <c r="F198" s="43">
        <v>1303807.99</v>
      </c>
      <c r="G198" s="43"/>
      <c r="H198" s="43">
        <f t="shared" si="115"/>
        <v>1303807.99</v>
      </c>
      <c r="I198" s="43"/>
      <c r="J198" s="43"/>
      <c r="K198" s="28">
        <f t="shared" si="116"/>
        <v>1303807.99</v>
      </c>
      <c r="M198"/>
      <c r="N198"/>
      <c r="O198"/>
      <c r="P198"/>
      <c r="Q198"/>
      <c r="R198"/>
      <c r="S198"/>
    </row>
    <row r="199" spans="1:19" s="12" customFormat="1" ht="45" x14ac:dyDescent="0.25">
      <c r="A199" s="29"/>
      <c r="B199" s="40"/>
      <c r="C199" s="35"/>
      <c r="D199" s="41">
        <v>35705</v>
      </c>
      <c r="E199" s="42" t="s">
        <v>172</v>
      </c>
      <c r="F199" s="43">
        <v>64888.97</v>
      </c>
      <c r="G199" s="43"/>
      <c r="H199" s="43">
        <f t="shared" si="115"/>
        <v>64888.97</v>
      </c>
      <c r="I199" s="43"/>
      <c r="J199" s="43"/>
      <c r="K199" s="28">
        <f t="shared" si="116"/>
        <v>64888.97</v>
      </c>
      <c r="M199"/>
      <c r="N199"/>
      <c r="O199"/>
      <c r="P199"/>
      <c r="Q199"/>
      <c r="R199"/>
      <c r="S199"/>
    </row>
    <row r="200" spans="1:19" s="12" customFormat="1" ht="45" x14ac:dyDescent="0.25">
      <c r="A200" s="29"/>
      <c r="B200" s="40"/>
      <c r="C200" s="35"/>
      <c r="D200" s="41">
        <v>35706</v>
      </c>
      <c r="E200" s="42" t="s">
        <v>173</v>
      </c>
      <c r="F200" s="43">
        <v>793149</v>
      </c>
      <c r="G200" s="43"/>
      <c r="H200" s="43">
        <f t="shared" si="115"/>
        <v>793149</v>
      </c>
      <c r="I200" s="43">
        <v>112811.07</v>
      </c>
      <c r="J200" s="43"/>
      <c r="K200" s="28">
        <f t="shared" si="116"/>
        <v>680337.92999999993</v>
      </c>
      <c r="M200"/>
      <c r="N200"/>
      <c r="O200"/>
      <c r="P200"/>
      <c r="Q200"/>
      <c r="R200"/>
      <c r="S200"/>
    </row>
    <row r="201" spans="1:19" s="12" customFormat="1" ht="30" x14ac:dyDescent="0.25">
      <c r="A201" s="29"/>
      <c r="B201" s="40"/>
      <c r="C201" s="35"/>
      <c r="D201" s="41">
        <v>35708</v>
      </c>
      <c r="E201" s="42" t="s">
        <v>174</v>
      </c>
      <c r="F201" s="43">
        <v>81782.039999999994</v>
      </c>
      <c r="G201" s="43"/>
      <c r="H201" s="43">
        <f t="shared" si="115"/>
        <v>81782.039999999994</v>
      </c>
      <c r="I201" s="43"/>
      <c r="J201" s="43"/>
      <c r="K201" s="28">
        <f t="shared" si="116"/>
        <v>81782.039999999994</v>
      </c>
      <c r="M201"/>
      <c r="N201"/>
      <c r="O201"/>
      <c r="P201"/>
      <c r="Q201"/>
      <c r="R201"/>
      <c r="S201"/>
    </row>
    <row r="202" spans="1:19" s="12" customFormat="1" x14ac:dyDescent="0.25">
      <c r="A202" s="29"/>
      <c r="B202" s="35"/>
      <c r="C202" s="36">
        <v>35800</v>
      </c>
      <c r="D202" s="37" t="s">
        <v>175</v>
      </c>
      <c r="E202" s="38"/>
      <c r="F202" s="39">
        <f>SUM(F203:F205)</f>
        <v>1764771.37</v>
      </c>
      <c r="G202" s="39">
        <f t="shared" ref="G202:K202" si="148">SUM(G203:G205)</f>
        <v>0</v>
      </c>
      <c r="H202" s="39">
        <f t="shared" si="148"/>
        <v>1764771.37</v>
      </c>
      <c r="I202" s="39">
        <f t="shared" si="148"/>
        <v>79808</v>
      </c>
      <c r="J202" s="39">
        <f t="shared" si="148"/>
        <v>0</v>
      </c>
      <c r="K202" s="39">
        <f t="shared" si="148"/>
        <v>1684963.37</v>
      </c>
      <c r="M202"/>
      <c r="N202"/>
      <c r="O202"/>
      <c r="P202"/>
      <c r="Q202"/>
      <c r="R202"/>
      <c r="S202"/>
    </row>
    <row r="203" spans="1:19" s="12" customFormat="1" x14ac:dyDescent="0.25">
      <c r="A203" s="29"/>
      <c r="B203" s="40"/>
      <c r="C203" s="35"/>
      <c r="D203" s="41">
        <v>35801</v>
      </c>
      <c r="E203" s="42" t="s">
        <v>176</v>
      </c>
      <c r="F203" s="43">
        <v>743850.6</v>
      </c>
      <c r="G203" s="43"/>
      <c r="H203" s="43">
        <f t="shared" si="115"/>
        <v>743850.6</v>
      </c>
      <c r="I203" s="43">
        <v>79808</v>
      </c>
      <c r="J203" s="43"/>
      <c r="K203" s="28">
        <f t="shared" si="116"/>
        <v>664042.6</v>
      </c>
      <c r="M203"/>
      <c r="N203"/>
      <c r="O203"/>
      <c r="P203"/>
      <c r="Q203"/>
      <c r="R203"/>
      <c r="S203"/>
    </row>
    <row r="204" spans="1:19" s="12" customFormat="1" x14ac:dyDescent="0.25">
      <c r="A204" s="29"/>
      <c r="B204" s="40"/>
      <c r="C204" s="35"/>
      <c r="D204" s="41">
        <v>35802</v>
      </c>
      <c r="E204" s="42" t="s">
        <v>177</v>
      </c>
      <c r="F204" s="43"/>
      <c r="G204" s="43"/>
      <c r="H204" s="43">
        <f t="shared" si="115"/>
        <v>0</v>
      </c>
      <c r="I204" s="43"/>
      <c r="J204" s="43"/>
      <c r="K204" s="28">
        <f t="shared" si="116"/>
        <v>0</v>
      </c>
      <c r="M204"/>
      <c r="N204"/>
      <c r="O204"/>
      <c r="P204"/>
      <c r="Q204"/>
      <c r="R204"/>
      <c r="S204"/>
    </row>
    <row r="205" spans="1:19" s="12" customFormat="1" ht="30" x14ac:dyDescent="0.25">
      <c r="A205" s="29"/>
      <c r="B205" s="40"/>
      <c r="C205" s="35"/>
      <c r="D205" s="41">
        <v>35804</v>
      </c>
      <c r="E205" s="42" t="s">
        <v>178</v>
      </c>
      <c r="F205" s="43">
        <v>1020920.77</v>
      </c>
      <c r="G205" s="43"/>
      <c r="H205" s="43">
        <f t="shared" si="115"/>
        <v>1020920.77</v>
      </c>
      <c r="I205" s="43"/>
      <c r="J205" s="43"/>
      <c r="K205" s="28">
        <f t="shared" si="116"/>
        <v>1020920.77</v>
      </c>
      <c r="M205"/>
      <c r="N205"/>
      <c r="O205"/>
      <c r="P205"/>
      <c r="Q205"/>
      <c r="R205"/>
      <c r="S205"/>
    </row>
    <row r="206" spans="1:19" s="12" customFormat="1" x14ac:dyDescent="0.25">
      <c r="A206" s="29"/>
      <c r="B206" s="35"/>
      <c r="C206" s="36">
        <v>35900</v>
      </c>
      <c r="D206" s="37" t="s">
        <v>179</v>
      </c>
      <c r="E206" s="38"/>
      <c r="F206" s="39">
        <f t="shared" ref="F206:K206" si="149">SUM(F207:F208)</f>
        <v>386817.72000000003</v>
      </c>
      <c r="G206" s="39">
        <f t="shared" si="149"/>
        <v>0</v>
      </c>
      <c r="H206" s="39">
        <f t="shared" si="149"/>
        <v>386817.72000000003</v>
      </c>
      <c r="I206" s="39">
        <f t="shared" si="149"/>
        <v>5568</v>
      </c>
      <c r="J206" s="39">
        <f t="shared" si="149"/>
        <v>0</v>
      </c>
      <c r="K206" s="39">
        <f t="shared" si="149"/>
        <v>381249.72000000003</v>
      </c>
      <c r="M206"/>
      <c r="N206"/>
      <c r="O206"/>
      <c r="P206"/>
      <c r="Q206"/>
      <c r="R206"/>
      <c r="S206"/>
    </row>
    <row r="207" spans="1:19" s="12" customFormat="1" x14ac:dyDescent="0.25">
      <c r="A207" s="29"/>
      <c r="B207" s="40"/>
      <c r="C207" s="35"/>
      <c r="D207" s="41">
        <v>35901</v>
      </c>
      <c r="E207" s="42" t="s">
        <v>180</v>
      </c>
      <c r="F207" s="43">
        <v>63821.4</v>
      </c>
      <c r="G207" s="43"/>
      <c r="H207" s="43">
        <f t="shared" si="115"/>
        <v>63821.4</v>
      </c>
      <c r="I207" s="43"/>
      <c r="J207" s="43"/>
      <c r="K207" s="28">
        <f t="shared" si="116"/>
        <v>63821.4</v>
      </c>
      <c r="M207"/>
      <c r="N207"/>
      <c r="O207"/>
      <c r="P207"/>
      <c r="Q207"/>
      <c r="R207"/>
      <c r="S207"/>
    </row>
    <row r="208" spans="1:19" s="12" customFormat="1" x14ac:dyDescent="0.25">
      <c r="A208" s="29"/>
      <c r="B208" s="40"/>
      <c r="C208" s="35"/>
      <c r="D208" s="41">
        <v>35902</v>
      </c>
      <c r="E208" s="42" t="s">
        <v>181</v>
      </c>
      <c r="F208" s="43">
        <v>322996.32</v>
      </c>
      <c r="G208" s="43"/>
      <c r="H208" s="43">
        <f t="shared" si="115"/>
        <v>322996.32</v>
      </c>
      <c r="I208" s="43">
        <v>5568</v>
      </c>
      <c r="J208" s="43">
        <v>0</v>
      </c>
      <c r="K208" s="28">
        <f t="shared" si="116"/>
        <v>317428.32</v>
      </c>
      <c r="M208"/>
      <c r="N208"/>
      <c r="O208"/>
      <c r="P208"/>
      <c r="Q208"/>
      <c r="R208"/>
      <c r="S208"/>
    </row>
    <row r="209" spans="1:19" s="12" customFormat="1" x14ac:dyDescent="0.25">
      <c r="A209" s="29"/>
      <c r="B209" s="30">
        <v>36000</v>
      </c>
      <c r="C209" s="31" t="s">
        <v>182</v>
      </c>
      <c r="D209" s="32"/>
      <c r="E209" s="33"/>
      <c r="F209" s="34">
        <f t="shared" ref="F209:F210" si="150">SUM(F210)</f>
        <v>112768.52</v>
      </c>
      <c r="G209" s="34">
        <f t="shared" ref="G209:K210" si="151">SUM(G210)</f>
        <v>0</v>
      </c>
      <c r="H209" s="34">
        <f t="shared" si="151"/>
        <v>112768.52</v>
      </c>
      <c r="I209" s="34">
        <f t="shared" si="151"/>
        <v>0</v>
      </c>
      <c r="J209" s="34">
        <f t="shared" si="151"/>
        <v>0</v>
      </c>
      <c r="K209" s="34">
        <f t="shared" si="151"/>
        <v>112768.52</v>
      </c>
      <c r="M209"/>
      <c r="N209"/>
      <c r="O209"/>
      <c r="P209"/>
      <c r="Q209"/>
      <c r="R209"/>
      <c r="S209"/>
    </row>
    <row r="210" spans="1:19" s="12" customFormat="1" x14ac:dyDescent="0.25">
      <c r="A210" s="29"/>
      <c r="B210" s="35"/>
      <c r="C210" s="36">
        <v>36100</v>
      </c>
      <c r="D210" s="37" t="s">
        <v>183</v>
      </c>
      <c r="E210" s="38"/>
      <c r="F210" s="39">
        <f t="shared" si="150"/>
        <v>112768.52</v>
      </c>
      <c r="G210" s="39">
        <f t="shared" si="151"/>
        <v>0</v>
      </c>
      <c r="H210" s="39">
        <f t="shared" si="151"/>
        <v>112768.52</v>
      </c>
      <c r="I210" s="39">
        <f t="shared" si="151"/>
        <v>0</v>
      </c>
      <c r="J210" s="39">
        <f t="shared" si="151"/>
        <v>0</v>
      </c>
      <c r="K210" s="39">
        <f t="shared" si="151"/>
        <v>112768.52</v>
      </c>
      <c r="M210"/>
      <c r="N210"/>
      <c r="O210"/>
      <c r="P210"/>
      <c r="Q210"/>
      <c r="R210"/>
      <c r="S210"/>
    </row>
    <row r="211" spans="1:19" s="12" customFormat="1" x14ac:dyDescent="0.25">
      <c r="A211" s="29"/>
      <c r="B211" s="40"/>
      <c r="C211" s="35"/>
      <c r="D211" s="41">
        <v>36101</v>
      </c>
      <c r="E211" s="42" t="s">
        <v>184</v>
      </c>
      <c r="F211" s="43">
        <v>112768.52</v>
      </c>
      <c r="G211" s="43"/>
      <c r="H211" s="43">
        <f>F211+G211</f>
        <v>112768.52</v>
      </c>
      <c r="I211" s="43"/>
      <c r="J211" s="43"/>
      <c r="K211" s="28">
        <f>H211-I211</f>
        <v>112768.52</v>
      </c>
      <c r="M211"/>
      <c r="N211"/>
      <c r="O211"/>
      <c r="P211"/>
      <c r="Q211"/>
      <c r="R211"/>
      <c r="S211"/>
    </row>
    <row r="212" spans="1:19" s="12" customFormat="1" x14ac:dyDescent="0.25">
      <c r="A212" s="29"/>
      <c r="B212" s="30">
        <v>37000</v>
      </c>
      <c r="C212" s="31" t="s">
        <v>185</v>
      </c>
      <c r="D212" s="32"/>
      <c r="E212" s="33"/>
      <c r="F212" s="34">
        <f t="shared" ref="F212:K212" si="152">SUM(F213,F215,F218,F221,F224)</f>
        <v>861288.2</v>
      </c>
      <c r="G212" s="34">
        <f t="shared" si="152"/>
        <v>0</v>
      </c>
      <c r="H212" s="34">
        <f t="shared" si="152"/>
        <v>861288.2</v>
      </c>
      <c r="I212" s="34">
        <f t="shared" si="152"/>
        <v>113327.52</v>
      </c>
      <c r="J212" s="34">
        <f t="shared" si="152"/>
        <v>111227.52</v>
      </c>
      <c r="K212" s="34">
        <f t="shared" si="152"/>
        <v>747960.67999999993</v>
      </c>
      <c r="M212"/>
      <c r="N212"/>
      <c r="O212"/>
      <c r="P212"/>
      <c r="Q212"/>
      <c r="R212"/>
      <c r="S212"/>
    </row>
    <row r="213" spans="1:19" s="12" customFormat="1" x14ac:dyDescent="0.25">
      <c r="A213" s="29"/>
      <c r="B213" s="35"/>
      <c r="C213" s="36">
        <v>37100</v>
      </c>
      <c r="D213" s="37" t="s">
        <v>186</v>
      </c>
      <c r="E213" s="38"/>
      <c r="F213" s="39">
        <f t="shared" ref="F213:K213" si="153">SUM(F214)</f>
        <v>164143</v>
      </c>
      <c r="G213" s="39">
        <f t="shared" si="153"/>
        <v>0</v>
      </c>
      <c r="H213" s="39">
        <f t="shared" si="153"/>
        <v>164143</v>
      </c>
      <c r="I213" s="39">
        <f t="shared" si="153"/>
        <v>6429</v>
      </c>
      <c r="J213" s="39">
        <f t="shared" si="153"/>
        <v>6429</v>
      </c>
      <c r="K213" s="39">
        <f t="shared" si="153"/>
        <v>157714</v>
      </c>
      <c r="M213"/>
      <c r="N213"/>
      <c r="O213"/>
      <c r="P213"/>
      <c r="Q213"/>
      <c r="R213"/>
      <c r="S213"/>
    </row>
    <row r="214" spans="1:19" s="12" customFormat="1" x14ac:dyDescent="0.25">
      <c r="A214" s="29"/>
      <c r="B214" s="40"/>
      <c r="C214" s="35"/>
      <c r="D214" s="41">
        <v>37101</v>
      </c>
      <c r="E214" s="42" t="s">
        <v>186</v>
      </c>
      <c r="F214" s="43">
        <v>164143</v>
      </c>
      <c r="G214" s="43"/>
      <c r="H214" s="43">
        <f>F214+G214</f>
        <v>164143</v>
      </c>
      <c r="I214" s="43">
        <v>6429</v>
      </c>
      <c r="J214" s="43">
        <v>6429</v>
      </c>
      <c r="K214" s="28">
        <f>H214-I214</f>
        <v>157714</v>
      </c>
      <c r="M214"/>
      <c r="N214"/>
      <c r="O214"/>
      <c r="P214"/>
      <c r="Q214"/>
      <c r="R214"/>
      <c r="S214"/>
    </row>
    <row r="215" spans="1:19" s="12" customFormat="1" x14ac:dyDescent="0.25">
      <c r="A215" s="29"/>
      <c r="B215" s="35"/>
      <c r="C215" s="36">
        <v>37200</v>
      </c>
      <c r="D215" s="37" t="s">
        <v>187</v>
      </c>
      <c r="E215" s="38"/>
      <c r="F215" s="39">
        <f>SUM(F216:F216)</f>
        <v>2333</v>
      </c>
      <c r="G215" s="39">
        <f t="shared" ref="G215:K215" si="154">SUM(G216:G217)</f>
        <v>0</v>
      </c>
      <c r="H215" s="39">
        <f t="shared" si="154"/>
        <v>2333</v>
      </c>
      <c r="I215" s="39">
        <f t="shared" si="154"/>
        <v>0</v>
      </c>
      <c r="J215" s="39">
        <f t="shared" si="154"/>
        <v>0</v>
      </c>
      <c r="K215" s="39">
        <f t="shared" si="154"/>
        <v>2333</v>
      </c>
      <c r="M215"/>
      <c r="N215"/>
      <c r="O215"/>
      <c r="P215"/>
      <c r="Q215"/>
      <c r="R215"/>
      <c r="S215"/>
    </row>
    <row r="216" spans="1:19" s="12" customFormat="1" x14ac:dyDescent="0.25">
      <c r="A216" s="29"/>
      <c r="B216" s="40"/>
      <c r="C216" s="35"/>
      <c r="D216" s="41">
        <v>37201</v>
      </c>
      <c r="E216" s="42" t="s">
        <v>187</v>
      </c>
      <c r="F216" s="43">
        <v>2333</v>
      </c>
      <c r="G216" s="43"/>
      <c r="H216" s="43">
        <f>F216+G216</f>
        <v>2333</v>
      </c>
      <c r="I216" s="43"/>
      <c r="J216" s="43"/>
      <c r="K216" s="28">
        <f>H216-I216</f>
        <v>2333</v>
      </c>
      <c r="M216"/>
      <c r="N216"/>
      <c r="O216"/>
      <c r="P216"/>
      <c r="Q216"/>
      <c r="R216"/>
      <c r="S216"/>
    </row>
    <row r="217" spans="1:19" s="12" customFormat="1" hidden="1" x14ac:dyDescent="0.25">
      <c r="A217" s="29"/>
      <c r="B217" s="40"/>
      <c r="C217" s="35"/>
      <c r="D217" s="41">
        <v>37202</v>
      </c>
      <c r="E217" s="42" t="s">
        <v>188</v>
      </c>
      <c r="F217" s="43"/>
      <c r="G217" s="43"/>
      <c r="H217" s="43">
        <f>F217+G217</f>
        <v>0</v>
      </c>
      <c r="I217" s="43"/>
      <c r="J217" s="43"/>
      <c r="K217" s="28">
        <f>H217-I217</f>
        <v>0</v>
      </c>
      <c r="M217"/>
      <c r="N217"/>
      <c r="O217"/>
      <c r="P217"/>
      <c r="Q217"/>
      <c r="R217"/>
      <c r="S217"/>
    </row>
    <row r="218" spans="1:19" s="12" customFormat="1" x14ac:dyDescent="0.25">
      <c r="A218" s="29"/>
      <c r="B218" s="35"/>
      <c r="C218" s="36">
        <v>37500</v>
      </c>
      <c r="D218" s="37" t="s">
        <v>189</v>
      </c>
      <c r="E218" s="38"/>
      <c r="F218" s="39">
        <f t="shared" ref="F218:K218" si="155">SUM(F219:F220)</f>
        <v>593298.49</v>
      </c>
      <c r="G218" s="39">
        <f t="shared" si="155"/>
        <v>0</v>
      </c>
      <c r="H218" s="39">
        <f t="shared" si="155"/>
        <v>593298.49</v>
      </c>
      <c r="I218" s="39">
        <f t="shared" si="155"/>
        <v>101003.52</v>
      </c>
      <c r="J218" s="39">
        <f t="shared" si="155"/>
        <v>98903.52</v>
      </c>
      <c r="K218" s="39">
        <f t="shared" si="155"/>
        <v>492294.97</v>
      </c>
      <c r="M218"/>
      <c r="N218"/>
      <c r="O218"/>
      <c r="P218"/>
      <c r="Q218"/>
      <c r="R218"/>
      <c r="S218"/>
    </row>
    <row r="219" spans="1:19" s="12" customFormat="1" x14ac:dyDescent="0.25">
      <c r="A219" s="29"/>
      <c r="B219" s="40"/>
      <c r="C219" s="35"/>
      <c r="D219" s="41">
        <v>37501</v>
      </c>
      <c r="E219" s="42" t="s">
        <v>189</v>
      </c>
      <c r="F219" s="43">
        <v>438144.49</v>
      </c>
      <c r="G219" s="43"/>
      <c r="H219" s="43">
        <f>F219+G219</f>
        <v>438144.49</v>
      </c>
      <c r="I219" s="43">
        <v>83956</v>
      </c>
      <c r="J219" s="43">
        <f>83956-2100</f>
        <v>81856</v>
      </c>
      <c r="K219" s="28">
        <f>H219-I219</f>
        <v>354188.49</v>
      </c>
      <c r="M219"/>
      <c r="N219"/>
      <c r="O219"/>
      <c r="P219"/>
      <c r="Q219"/>
      <c r="R219"/>
      <c r="S219"/>
    </row>
    <row r="220" spans="1:19" s="12" customFormat="1" x14ac:dyDescent="0.25">
      <c r="A220" s="29"/>
      <c r="B220" s="40"/>
      <c r="C220" s="35"/>
      <c r="D220" s="41">
        <v>37502</v>
      </c>
      <c r="E220" s="42" t="s">
        <v>190</v>
      </c>
      <c r="F220" s="43">
        <v>155154</v>
      </c>
      <c r="G220" s="43"/>
      <c r="H220" s="43">
        <f>F220+G220</f>
        <v>155154</v>
      </c>
      <c r="I220" s="43">
        <v>17047.52</v>
      </c>
      <c r="J220" s="43">
        <v>17047.52</v>
      </c>
      <c r="K220" s="28">
        <f>H220-I220</f>
        <v>138106.48000000001</v>
      </c>
      <c r="M220"/>
      <c r="N220"/>
      <c r="O220"/>
      <c r="P220"/>
      <c r="Q220"/>
      <c r="R220"/>
      <c r="S220"/>
    </row>
    <row r="221" spans="1:19" s="12" customFormat="1" hidden="1" x14ac:dyDescent="0.25">
      <c r="A221" s="29"/>
      <c r="B221" s="35"/>
      <c r="C221" s="36">
        <v>37600</v>
      </c>
      <c r="D221" s="37" t="s">
        <v>191</v>
      </c>
      <c r="E221" s="38"/>
      <c r="F221" s="39">
        <f t="shared" ref="F221:K221" si="156">SUM(F222:F223)</f>
        <v>0</v>
      </c>
      <c r="G221" s="39">
        <f t="shared" si="156"/>
        <v>0</v>
      </c>
      <c r="H221" s="39">
        <f t="shared" si="156"/>
        <v>0</v>
      </c>
      <c r="I221" s="39">
        <f t="shared" si="156"/>
        <v>0</v>
      </c>
      <c r="J221" s="39">
        <f t="shared" si="156"/>
        <v>0</v>
      </c>
      <c r="K221" s="39">
        <f t="shared" si="156"/>
        <v>0</v>
      </c>
      <c r="M221"/>
      <c r="N221"/>
      <c r="O221"/>
      <c r="P221"/>
      <c r="Q221"/>
      <c r="R221"/>
      <c r="S221"/>
    </row>
    <row r="222" spans="1:19" s="12" customFormat="1" hidden="1" x14ac:dyDescent="0.25">
      <c r="A222" s="29"/>
      <c r="B222" s="40"/>
      <c r="C222" s="35"/>
      <c r="D222" s="41">
        <v>37601</v>
      </c>
      <c r="E222" s="42" t="s">
        <v>191</v>
      </c>
      <c r="F222" s="43"/>
      <c r="G222" s="43"/>
      <c r="H222" s="43">
        <f>F222+G222</f>
        <v>0</v>
      </c>
      <c r="I222" s="43"/>
      <c r="J222" s="43"/>
      <c r="K222" s="28">
        <f>H222-I222</f>
        <v>0</v>
      </c>
      <c r="M222"/>
      <c r="N222"/>
      <c r="O222"/>
      <c r="P222"/>
      <c r="Q222"/>
      <c r="R222"/>
      <c r="S222"/>
    </row>
    <row r="223" spans="1:19" s="12" customFormat="1" hidden="1" x14ac:dyDescent="0.25">
      <c r="A223" s="29"/>
      <c r="B223" s="40"/>
      <c r="C223" s="35"/>
      <c r="D223" s="52">
        <v>37602</v>
      </c>
      <c r="E223" s="51" t="s">
        <v>192</v>
      </c>
      <c r="F223" s="43"/>
      <c r="G223" s="43"/>
      <c r="H223" s="43">
        <f>F223+G223</f>
        <v>0</v>
      </c>
      <c r="I223" s="43"/>
      <c r="J223" s="43"/>
      <c r="K223" s="28">
        <f>H223-I223</f>
        <v>0</v>
      </c>
      <c r="M223"/>
      <c r="N223"/>
      <c r="O223"/>
      <c r="P223"/>
      <c r="Q223"/>
      <c r="R223"/>
      <c r="S223"/>
    </row>
    <row r="224" spans="1:19" s="12" customFormat="1" x14ac:dyDescent="0.25">
      <c r="A224" s="29"/>
      <c r="B224" s="35"/>
      <c r="C224" s="36">
        <v>37900</v>
      </c>
      <c r="D224" s="37" t="s">
        <v>193</v>
      </c>
      <c r="E224" s="38"/>
      <c r="F224" s="39">
        <f t="shared" ref="F224:K224" si="157">SUM(F225:F226)</f>
        <v>101513.71</v>
      </c>
      <c r="G224" s="39">
        <f t="shared" si="157"/>
        <v>0</v>
      </c>
      <c r="H224" s="39">
        <f t="shared" si="157"/>
        <v>101513.71</v>
      </c>
      <c r="I224" s="39">
        <f t="shared" si="157"/>
        <v>5895</v>
      </c>
      <c r="J224" s="39">
        <f t="shared" si="157"/>
        <v>5895</v>
      </c>
      <c r="K224" s="39">
        <f t="shared" si="157"/>
        <v>95618.71</v>
      </c>
      <c r="M224"/>
      <c r="N224"/>
      <c r="O224"/>
      <c r="P224"/>
      <c r="Q224"/>
      <c r="R224"/>
      <c r="S224"/>
    </row>
    <row r="225" spans="1:19" s="12" customFormat="1" x14ac:dyDescent="0.25">
      <c r="A225" s="29"/>
      <c r="B225" s="40"/>
      <c r="C225" s="35"/>
      <c r="D225" s="41">
        <v>37902</v>
      </c>
      <c r="E225" s="42" t="s">
        <v>194</v>
      </c>
      <c r="F225" s="43">
        <v>101513.71</v>
      </c>
      <c r="G225" s="43"/>
      <c r="H225" s="43">
        <f>F225+G225</f>
        <v>101513.71</v>
      </c>
      <c r="I225" s="43">
        <v>5895</v>
      </c>
      <c r="J225" s="43">
        <v>5895</v>
      </c>
      <c r="K225" s="28">
        <f>H225-I225</f>
        <v>95618.71</v>
      </c>
      <c r="M225"/>
      <c r="N225"/>
      <c r="O225"/>
      <c r="P225"/>
      <c r="Q225"/>
      <c r="R225"/>
      <c r="S225"/>
    </row>
    <row r="226" spans="1:19" s="12" customFormat="1" x14ac:dyDescent="0.25">
      <c r="A226" s="29"/>
      <c r="B226" s="40"/>
      <c r="C226" s="35"/>
      <c r="D226" s="41">
        <v>37903</v>
      </c>
      <c r="E226" s="42" t="s">
        <v>195</v>
      </c>
      <c r="F226" s="43"/>
      <c r="G226" s="43"/>
      <c r="H226" s="43">
        <f>F226+G226</f>
        <v>0</v>
      </c>
      <c r="I226" s="43"/>
      <c r="J226" s="43"/>
      <c r="K226" s="28">
        <f>H226-I226</f>
        <v>0</v>
      </c>
      <c r="M226"/>
      <c r="N226"/>
      <c r="O226"/>
      <c r="P226"/>
      <c r="Q226"/>
      <c r="R226"/>
      <c r="S226"/>
    </row>
    <row r="227" spans="1:19" s="12" customFormat="1" x14ac:dyDescent="0.25">
      <c r="A227" s="29"/>
      <c r="B227" s="30">
        <v>38000</v>
      </c>
      <c r="C227" s="31" t="s">
        <v>196</v>
      </c>
      <c r="D227" s="32"/>
      <c r="E227" s="33"/>
      <c r="F227" s="34">
        <f t="shared" ref="F227:K227" si="158">SUM(F228)</f>
        <v>479578.3</v>
      </c>
      <c r="G227" s="34">
        <f t="shared" si="158"/>
        <v>0</v>
      </c>
      <c r="H227" s="34">
        <f t="shared" si="158"/>
        <v>479578.3</v>
      </c>
      <c r="I227" s="34">
        <f t="shared" si="158"/>
        <v>26963.22</v>
      </c>
      <c r="J227" s="34">
        <f t="shared" si="158"/>
        <v>26963.22</v>
      </c>
      <c r="K227" s="34">
        <f t="shared" si="158"/>
        <v>452615.07999999996</v>
      </c>
      <c r="M227"/>
      <c r="N227"/>
      <c r="O227"/>
      <c r="P227"/>
      <c r="Q227"/>
      <c r="R227"/>
      <c r="S227"/>
    </row>
    <row r="228" spans="1:19" s="12" customFormat="1" x14ac:dyDescent="0.25">
      <c r="A228" s="29"/>
      <c r="B228" s="35"/>
      <c r="C228" s="36">
        <v>38500</v>
      </c>
      <c r="D228" s="37" t="s">
        <v>197</v>
      </c>
      <c r="E228" s="38"/>
      <c r="F228" s="39">
        <f>SUM(F229:F229)</f>
        <v>479578.3</v>
      </c>
      <c r="G228" s="39">
        <f t="shared" ref="G228:K228" si="159">SUM(G229:G230)</f>
        <v>0</v>
      </c>
      <c r="H228" s="39">
        <f t="shared" si="159"/>
        <v>479578.3</v>
      </c>
      <c r="I228" s="39">
        <f t="shared" si="159"/>
        <v>26963.22</v>
      </c>
      <c r="J228" s="39">
        <f t="shared" si="159"/>
        <v>26963.22</v>
      </c>
      <c r="K228" s="39">
        <f t="shared" si="159"/>
        <v>452615.07999999996</v>
      </c>
      <c r="M228"/>
      <c r="N228"/>
      <c r="O228"/>
      <c r="P228"/>
      <c r="Q228"/>
      <c r="R228"/>
      <c r="S228"/>
    </row>
    <row r="229" spans="1:19" s="12" customFormat="1" x14ac:dyDescent="0.25">
      <c r="A229" s="29"/>
      <c r="B229" s="40"/>
      <c r="C229" s="35"/>
      <c r="D229" s="41">
        <v>38501</v>
      </c>
      <c r="E229" s="42" t="s">
        <v>198</v>
      </c>
      <c r="F229" s="43">
        <v>479578.3</v>
      </c>
      <c r="G229" s="43"/>
      <c r="H229" s="43">
        <f>F229+G229</f>
        <v>479578.3</v>
      </c>
      <c r="I229" s="43">
        <v>26963.22</v>
      </c>
      <c r="J229" s="43">
        <v>26963.22</v>
      </c>
      <c r="K229" s="28">
        <f>H229-I229</f>
        <v>452615.07999999996</v>
      </c>
      <c r="M229"/>
      <c r="N229"/>
      <c r="O229"/>
      <c r="P229"/>
      <c r="Q229"/>
      <c r="R229"/>
      <c r="S229"/>
    </row>
    <row r="230" spans="1:19" s="12" customFormat="1" hidden="1" x14ac:dyDescent="0.25">
      <c r="A230" s="29"/>
      <c r="B230" s="40"/>
      <c r="C230" s="35"/>
      <c r="D230" s="41">
        <v>38503</v>
      </c>
      <c r="E230" s="42" t="s">
        <v>197</v>
      </c>
      <c r="F230" s="43"/>
      <c r="G230" s="43"/>
      <c r="H230" s="43">
        <f>F230+G230</f>
        <v>0</v>
      </c>
      <c r="I230" s="43"/>
      <c r="J230" s="43"/>
      <c r="K230" s="28">
        <f>H230-I230</f>
        <v>0</v>
      </c>
      <c r="M230"/>
      <c r="N230"/>
      <c r="O230"/>
      <c r="P230"/>
      <c r="Q230"/>
      <c r="R230"/>
      <c r="S230"/>
    </row>
    <row r="231" spans="1:19" s="12" customFormat="1" hidden="1" x14ac:dyDescent="0.25">
      <c r="A231" s="29"/>
      <c r="B231" s="30">
        <v>39000</v>
      </c>
      <c r="C231" s="31" t="s">
        <v>199</v>
      </c>
      <c r="D231" s="32"/>
      <c r="E231" s="33"/>
      <c r="F231" s="34"/>
      <c r="G231" s="34">
        <f t="shared" ref="G231:K231" si="160">SUM(G232,G234)</f>
        <v>0</v>
      </c>
      <c r="H231" s="34">
        <f t="shared" si="160"/>
        <v>0</v>
      </c>
      <c r="I231" s="34">
        <f t="shared" si="160"/>
        <v>0</v>
      </c>
      <c r="J231" s="34">
        <f t="shared" si="160"/>
        <v>0</v>
      </c>
      <c r="K231" s="34">
        <f t="shared" si="160"/>
        <v>0</v>
      </c>
      <c r="M231"/>
      <c r="N231"/>
      <c r="O231"/>
      <c r="P231"/>
      <c r="Q231"/>
      <c r="R231"/>
      <c r="S231"/>
    </row>
    <row r="232" spans="1:19" s="12" customFormat="1" hidden="1" x14ac:dyDescent="0.25">
      <c r="A232" s="29"/>
      <c r="B232" s="35"/>
      <c r="C232" s="36">
        <v>39200</v>
      </c>
      <c r="D232" s="37" t="s">
        <v>200</v>
      </c>
      <c r="E232" s="38"/>
      <c r="F232" s="39"/>
      <c r="G232" s="39">
        <f t="shared" ref="G232:K232" si="161">SUM(G233)</f>
        <v>0</v>
      </c>
      <c r="H232" s="39">
        <f t="shared" si="161"/>
        <v>0</v>
      </c>
      <c r="I232" s="39">
        <f t="shared" si="161"/>
        <v>0</v>
      </c>
      <c r="J232" s="39">
        <f t="shared" si="161"/>
        <v>0</v>
      </c>
      <c r="K232" s="39">
        <f t="shared" si="161"/>
        <v>0</v>
      </c>
      <c r="M232"/>
      <c r="N232"/>
      <c r="O232"/>
      <c r="P232"/>
      <c r="Q232"/>
      <c r="R232"/>
      <c r="S232"/>
    </row>
    <row r="233" spans="1:19" s="12" customFormat="1" hidden="1" x14ac:dyDescent="0.25">
      <c r="A233" s="29"/>
      <c r="B233" s="40"/>
      <c r="C233" s="35"/>
      <c r="D233" s="41">
        <v>39201</v>
      </c>
      <c r="E233" s="42" t="s">
        <v>200</v>
      </c>
      <c r="F233" s="43"/>
      <c r="G233" s="43"/>
      <c r="H233" s="43">
        <f>F233+G233</f>
        <v>0</v>
      </c>
      <c r="I233" s="43"/>
      <c r="J233" s="43"/>
      <c r="K233" s="28">
        <f>H233-I233</f>
        <v>0</v>
      </c>
      <c r="M233"/>
      <c r="N233"/>
      <c r="O233"/>
      <c r="P233"/>
      <c r="Q233"/>
      <c r="R233"/>
      <c r="S233"/>
    </row>
    <row r="234" spans="1:19" s="12" customFormat="1" hidden="1" x14ac:dyDescent="0.25">
      <c r="A234" s="29"/>
      <c r="B234" s="35"/>
      <c r="C234" s="36">
        <v>39600</v>
      </c>
      <c r="D234" s="37" t="s">
        <v>201</v>
      </c>
      <c r="E234" s="38"/>
      <c r="F234" s="39"/>
      <c r="G234" s="39">
        <f t="shared" ref="G234:K234" si="162">SUM(G235)</f>
        <v>0</v>
      </c>
      <c r="H234" s="39">
        <f t="shared" si="162"/>
        <v>0</v>
      </c>
      <c r="I234" s="39">
        <f t="shared" si="162"/>
        <v>0</v>
      </c>
      <c r="J234" s="39">
        <f t="shared" si="162"/>
        <v>0</v>
      </c>
      <c r="K234" s="39">
        <f t="shared" si="162"/>
        <v>0</v>
      </c>
      <c r="M234"/>
      <c r="N234"/>
      <c r="O234"/>
      <c r="P234"/>
      <c r="Q234"/>
      <c r="R234"/>
      <c r="S234"/>
    </row>
    <row r="235" spans="1:19" s="12" customFormat="1" hidden="1" x14ac:dyDescent="0.25">
      <c r="A235" s="29"/>
      <c r="B235" s="40"/>
      <c r="C235" s="35"/>
      <c r="D235" s="41">
        <v>39601</v>
      </c>
      <c r="E235" s="42" t="s">
        <v>201</v>
      </c>
      <c r="F235" s="43"/>
      <c r="G235" s="43"/>
      <c r="H235" s="43">
        <f>F235+G235</f>
        <v>0</v>
      </c>
      <c r="I235" s="43"/>
      <c r="J235" s="43"/>
      <c r="K235" s="28">
        <f>H235-I235</f>
        <v>0</v>
      </c>
      <c r="M235"/>
      <c r="N235"/>
      <c r="O235"/>
      <c r="P235"/>
      <c r="Q235"/>
      <c r="R235"/>
      <c r="S235"/>
    </row>
    <row r="236" spans="1:19" s="12" customFormat="1" x14ac:dyDescent="0.25">
      <c r="A236" s="29"/>
      <c r="B236" s="40"/>
      <c r="C236" s="35"/>
      <c r="D236" s="41"/>
      <c r="E236" s="42"/>
      <c r="F236" s="28"/>
      <c r="G236" s="28"/>
      <c r="H236" s="28"/>
      <c r="I236" s="28"/>
      <c r="J236" s="28"/>
      <c r="K236" s="28"/>
      <c r="M236"/>
      <c r="N236"/>
      <c r="O236"/>
      <c r="P236"/>
      <c r="Q236"/>
      <c r="R236"/>
      <c r="S236"/>
    </row>
    <row r="237" spans="1:19" s="12" customFormat="1" x14ac:dyDescent="0.25">
      <c r="A237" s="23">
        <v>40000</v>
      </c>
      <c r="B237" s="24" t="s">
        <v>202</v>
      </c>
      <c r="C237" s="25"/>
      <c r="D237" s="25"/>
      <c r="E237" s="26"/>
      <c r="F237" s="28">
        <f>SUM(F238)</f>
        <v>46000</v>
      </c>
      <c r="G237" s="28">
        <f t="shared" ref="G237:K237" si="163">SUM(G238,G241)</f>
        <v>0</v>
      </c>
      <c r="H237" s="28">
        <f t="shared" si="163"/>
        <v>46000</v>
      </c>
      <c r="I237" s="28">
        <f t="shared" si="163"/>
        <v>0</v>
      </c>
      <c r="J237" s="28">
        <f t="shared" si="163"/>
        <v>0</v>
      </c>
      <c r="K237" s="28">
        <f t="shared" si="163"/>
        <v>46000</v>
      </c>
      <c r="M237"/>
      <c r="N237"/>
      <c r="O237"/>
      <c r="P237"/>
      <c r="Q237"/>
      <c r="R237"/>
      <c r="S237"/>
    </row>
    <row r="238" spans="1:19" s="12" customFormat="1" x14ac:dyDescent="0.25">
      <c r="A238" s="29"/>
      <c r="B238" s="30">
        <v>44000</v>
      </c>
      <c r="C238" s="31" t="s">
        <v>203</v>
      </c>
      <c r="D238" s="32"/>
      <c r="E238" s="33"/>
      <c r="F238" s="34">
        <f t="shared" ref="F238:K239" si="164">SUM(F239)</f>
        <v>46000</v>
      </c>
      <c r="G238" s="34">
        <f t="shared" si="164"/>
        <v>0</v>
      </c>
      <c r="H238" s="34">
        <f t="shared" si="164"/>
        <v>46000</v>
      </c>
      <c r="I238" s="34">
        <f t="shared" si="164"/>
        <v>0</v>
      </c>
      <c r="J238" s="34">
        <f t="shared" si="164"/>
        <v>0</v>
      </c>
      <c r="K238" s="34">
        <f t="shared" si="164"/>
        <v>46000</v>
      </c>
      <c r="M238"/>
      <c r="N238"/>
      <c r="O238"/>
      <c r="P238"/>
      <c r="Q238"/>
      <c r="R238"/>
      <c r="S238"/>
    </row>
    <row r="239" spans="1:19" s="12" customFormat="1" x14ac:dyDescent="0.25">
      <c r="A239" s="29"/>
      <c r="B239" s="35"/>
      <c r="C239" s="36">
        <v>44500</v>
      </c>
      <c r="D239" s="37" t="s">
        <v>204</v>
      </c>
      <c r="E239" s="38"/>
      <c r="F239" s="39">
        <f t="shared" si="164"/>
        <v>46000</v>
      </c>
      <c r="G239" s="39">
        <f t="shared" si="164"/>
        <v>0</v>
      </c>
      <c r="H239" s="39">
        <f t="shared" si="164"/>
        <v>46000</v>
      </c>
      <c r="I239" s="39">
        <f t="shared" si="164"/>
        <v>0</v>
      </c>
      <c r="J239" s="39">
        <f t="shared" si="164"/>
        <v>0</v>
      </c>
      <c r="K239" s="39">
        <f t="shared" si="164"/>
        <v>46000</v>
      </c>
      <c r="M239"/>
      <c r="N239"/>
      <c r="O239"/>
      <c r="P239"/>
      <c r="Q239"/>
      <c r="R239"/>
      <c r="S239"/>
    </row>
    <row r="240" spans="1:19" s="12" customFormat="1" x14ac:dyDescent="0.25">
      <c r="A240" s="29"/>
      <c r="B240" s="40"/>
      <c r="C240" s="35"/>
      <c r="D240" s="41">
        <v>44502</v>
      </c>
      <c r="E240" s="42" t="s">
        <v>205</v>
      </c>
      <c r="F240" s="43">
        <v>46000</v>
      </c>
      <c r="G240" s="43"/>
      <c r="H240" s="43">
        <f>F240+G240</f>
        <v>46000</v>
      </c>
      <c r="I240" s="43"/>
      <c r="J240" s="43"/>
      <c r="K240" s="28">
        <f>H240-I240</f>
        <v>46000</v>
      </c>
      <c r="M240"/>
      <c r="N240"/>
      <c r="O240"/>
      <c r="P240"/>
      <c r="Q240"/>
      <c r="R240"/>
      <c r="S240"/>
    </row>
    <row r="241" spans="1:19" s="12" customFormat="1" hidden="1" x14ac:dyDescent="0.25">
      <c r="A241" s="29"/>
      <c r="B241" s="30">
        <v>46000</v>
      </c>
      <c r="C241" s="31" t="s">
        <v>206</v>
      </c>
      <c r="D241" s="32"/>
      <c r="E241" s="33"/>
      <c r="F241" s="34"/>
      <c r="G241" s="34">
        <f t="shared" ref="G241:K242" si="165">SUM(G242)</f>
        <v>0</v>
      </c>
      <c r="H241" s="34">
        <f t="shared" si="165"/>
        <v>0</v>
      </c>
      <c r="I241" s="34">
        <f t="shared" si="165"/>
        <v>0</v>
      </c>
      <c r="J241" s="34">
        <f t="shared" si="165"/>
        <v>0</v>
      </c>
      <c r="K241" s="34">
        <f t="shared" si="165"/>
        <v>0</v>
      </c>
      <c r="M241"/>
      <c r="N241"/>
      <c r="O241"/>
      <c r="P241"/>
      <c r="Q241"/>
      <c r="R241"/>
      <c r="S241"/>
    </row>
    <row r="242" spans="1:19" s="12" customFormat="1" hidden="1" x14ac:dyDescent="0.25">
      <c r="A242" s="29"/>
      <c r="B242" s="35"/>
      <c r="C242" s="36">
        <v>46300</v>
      </c>
      <c r="D242" s="37" t="s">
        <v>207</v>
      </c>
      <c r="E242" s="38"/>
      <c r="F242" s="39"/>
      <c r="G242" s="39">
        <f t="shared" si="165"/>
        <v>0</v>
      </c>
      <c r="H242" s="39">
        <f t="shared" si="165"/>
        <v>0</v>
      </c>
      <c r="I242" s="39">
        <f t="shared" si="165"/>
        <v>0</v>
      </c>
      <c r="J242" s="39">
        <f t="shared" si="165"/>
        <v>0</v>
      </c>
      <c r="K242" s="39">
        <f t="shared" si="165"/>
        <v>0</v>
      </c>
      <c r="M242"/>
      <c r="N242"/>
      <c r="O242"/>
      <c r="P242"/>
      <c r="Q242"/>
      <c r="R242"/>
      <c r="S242"/>
    </row>
    <row r="243" spans="1:19" s="12" customFormat="1" ht="30" hidden="1" x14ac:dyDescent="0.25">
      <c r="A243" s="29"/>
      <c r="B243" s="40"/>
      <c r="C243" s="35"/>
      <c r="D243" s="41">
        <v>46301</v>
      </c>
      <c r="E243" s="42" t="s">
        <v>208</v>
      </c>
      <c r="F243" s="43"/>
      <c r="G243" s="43"/>
      <c r="H243" s="43">
        <f>F243+G243</f>
        <v>0</v>
      </c>
      <c r="I243" s="43"/>
      <c r="J243" s="43"/>
      <c r="K243" s="28">
        <f>H243-I243</f>
        <v>0</v>
      </c>
      <c r="M243"/>
      <c r="N243"/>
      <c r="O243"/>
      <c r="P243"/>
      <c r="Q243"/>
      <c r="R243"/>
      <c r="S243"/>
    </row>
    <row r="244" spans="1:19" s="12" customFormat="1" x14ac:dyDescent="0.25">
      <c r="A244" s="29"/>
      <c r="B244" s="40"/>
      <c r="C244" s="35"/>
      <c r="D244" s="41"/>
      <c r="E244" s="42"/>
      <c r="F244" s="43"/>
      <c r="G244" s="43"/>
      <c r="H244" s="43"/>
      <c r="I244" s="43"/>
      <c r="J244" s="43"/>
      <c r="K244" s="28"/>
      <c r="M244"/>
      <c r="N244"/>
      <c r="O244"/>
      <c r="P244"/>
      <c r="Q244"/>
      <c r="R244"/>
      <c r="S244"/>
    </row>
    <row r="245" spans="1:19" s="12" customFormat="1" x14ac:dyDescent="0.25">
      <c r="A245" s="23">
        <v>50000</v>
      </c>
      <c r="B245" s="24" t="s">
        <v>209</v>
      </c>
      <c r="C245" s="25"/>
      <c r="D245" s="25"/>
      <c r="E245" s="26"/>
      <c r="F245" s="28">
        <f t="shared" ref="F245:G245" si="166">SUM(F246,F255,F260,F264,F267)</f>
        <v>343630.39</v>
      </c>
      <c r="G245" s="28">
        <f t="shared" si="166"/>
        <v>0</v>
      </c>
      <c r="H245" s="28">
        <f>SUM(H246,H255,H260,H264,H267)</f>
        <v>343630.39</v>
      </c>
      <c r="I245" s="28">
        <f t="shared" ref="I245:K245" si="167">SUM(I246,I255,I260,I264,I267)</f>
        <v>47123.519999999997</v>
      </c>
      <c r="J245" s="28">
        <f t="shared" si="167"/>
        <v>18187.2</v>
      </c>
      <c r="K245" s="28">
        <f t="shared" si="167"/>
        <v>296506.87</v>
      </c>
      <c r="M245"/>
      <c r="N245"/>
      <c r="O245"/>
      <c r="P245"/>
      <c r="Q245"/>
      <c r="R245"/>
      <c r="S245"/>
    </row>
    <row r="246" spans="1:19" s="12" customFormat="1" x14ac:dyDescent="0.25">
      <c r="A246" s="29"/>
      <c r="B246" s="30">
        <v>51000</v>
      </c>
      <c r="C246" s="31" t="s">
        <v>210</v>
      </c>
      <c r="D246" s="32"/>
      <c r="E246" s="33"/>
      <c r="F246" s="34">
        <f>SUM(F247,F253)</f>
        <v>71692</v>
      </c>
      <c r="G246" s="34">
        <f t="shared" ref="G246:K246" si="168">SUM(G247,G249,G253)</f>
        <v>0</v>
      </c>
      <c r="H246" s="34">
        <f t="shared" si="168"/>
        <v>71692</v>
      </c>
      <c r="I246" s="34">
        <f t="shared" si="168"/>
        <v>0</v>
      </c>
      <c r="J246" s="34">
        <f t="shared" si="168"/>
        <v>0</v>
      </c>
      <c r="K246" s="34">
        <f t="shared" si="168"/>
        <v>71692</v>
      </c>
      <c r="M246"/>
      <c r="N246"/>
      <c r="O246"/>
      <c r="P246"/>
      <c r="Q246"/>
      <c r="R246"/>
      <c r="S246"/>
    </row>
    <row r="247" spans="1:19" s="12" customFormat="1" x14ac:dyDescent="0.25">
      <c r="A247" s="29"/>
      <c r="B247" s="35"/>
      <c r="C247" s="36">
        <v>51100</v>
      </c>
      <c r="D247" s="37" t="s">
        <v>211</v>
      </c>
      <c r="E247" s="38"/>
      <c r="F247" s="39">
        <f t="shared" ref="F247:K247" si="169">SUM(F248)</f>
        <v>51092</v>
      </c>
      <c r="G247" s="39">
        <f t="shared" si="169"/>
        <v>0</v>
      </c>
      <c r="H247" s="39">
        <f t="shared" si="169"/>
        <v>51092</v>
      </c>
      <c r="I247" s="39">
        <f t="shared" si="169"/>
        <v>0</v>
      </c>
      <c r="J247" s="39">
        <f t="shared" si="169"/>
        <v>0</v>
      </c>
      <c r="K247" s="39">
        <f t="shared" si="169"/>
        <v>51092</v>
      </c>
      <c r="M247"/>
      <c r="N247"/>
      <c r="O247"/>
      <c r="P247"/>
      <c r="Q247"/>
      <c r="R247"/>
      <c r="S247"/>
    </row>
    <row r="248" spans="1:19" s="12" customFormat="1" x14ac:dyDescent="0.25">
      <c r="A248" s="29"/>
      <c r="B248" s="40"/>
      <c r="C248" s="35"/>
      <c r="D248" s="41">
        <v>51101</v>
      </c>
      <c r="E248" s="42" t="s">
        <v>211</v>
      </c>
      <c r="F248" s="43">
        <v>51092</v>
      </c>
      <c r="G248" s="43"/>
      <c r="H248" s="43">
        <f>F248+G248</f>
        <v>51092</v>
      </c>
      <c r="I248" s="43"/>
      <c r="J248" s="43"/>
      <c r="K248" s="28">
        <f>H248-I248</f>
        <v>51092</v>
      </c>
      <c r="M248"/>
      <c r="N248"/>
      <c r="O248"/>
      <c r="P248"/>
      <c r="Q248"/>
      <c r="R248"/>
      <c r="S248"/>
    </row>
    <row r="249" spans="1:19" s="12" customFormat="1" hidden="1" x14ac:dyDescent="0.25">
      <c r="A249" s="29"/>
      <c r="B249" s="35"/>
      <c r="C249" s="36">
        <v>51500</v>
      </c>
      <c r="D249" s="37" t="s">
        <v>212</v>
      </c>
      <c r="E249" s="38"/>
      <c r="F249" s="39"/>
      <c r="G249" s="39">
        <f t="shared" ref="G249:K249" si="170">SUM(G250:G252)</f>
        <v>0</v>
      </c>
      <c r="H249" s="39">
        <f t="shared" si="170"/>
        <v>0</v>
      </c>
      <c r="I249" s="39">
        <f t="shared" si="170"/>
        <v>0</v>
      </c>
      <c r="J249" s="39">
        <f t="shared" si="170"/>
        <v>0</v>
      </c>
      <c r="K249" s="39">
        <f t="shared" si="170"/>
        <v>0</v>
      </c>
      <c r="M249"/>
      <c r="N249"/>
      <c r="O249"/>
      <c r="P249"/>
      <c r="Q249"/>
      <c r="R249"/>
      <c r="S249"/>
    </row>
    <row r="250" spans="1:19" s="12" customFormat="1" ht="30" hidden="1" x14ac:dyDescent="0.25">
      <c r="A250" s="29"/>
      <c r="B250" s="40"/>
      <c r="C250" s="35"/>
      <c r="D250" s="41">
        <v>51501</v>
      </c>
      <c r="E250" s="42" t="s">
        <v>213</v>
      </c>
      <c r="F250" s="43"/>
      <c r="G250" s="43"/>
      <c r="H250" s="43">
        <f>F250+G250</f>
        <v>0</v>
      </c>
      <c r="I250" s="43"/>
      <c r="J250" s="43"/>
      <c r="K250" s="28">
        <f>H250-I250</f>
        <v>0</v>
      </c>
      <c r="M250"/>
      <c r="N250"/>
      <c r="O250"/>
      <c r="P250"/>
      <c r="Q250"/>
      <c r="R250"/>
      <c r="S250"/>
    </row>
    <row r="251" spans="1:19" s="12" customFormat="1" hidden="1" x14ac:dyDescent="0.25">
      <c r="A251" s="29"/>
      <c r="B251" s="40"/>
      <c r="C251" s="35"/>
      <c r="D251" s="41">
        <v>51502</v>
      </c>
      <c r="E251" s="42" t="s">
        <v>214</v>
      </c>
      <c r="F251" s="43"/>
      <c r="G251" s="43"/>
      <c r="H251" s="43">
        <f>F251+G251</f>
        <v>0</v>
      </c>
      <c r="I251" s="43"/>
      <c r="J251" s="43"/>
      <c r="K251" s="28">
        <f>H251-I251</f>
        <v>0</v>
      </c>
      <c r="M251"/>
      <c r="N251"/>
      <c r="O251"/>
      <c r="P251"/>
      <c r="Q251"/>
      <c r="R251"/>
      <c r="S251"/>
    </row>
    <row r="252" spans="1:19" s="12" customFormat="1" hidden="1" x14ac:dyDescent="0.25">
      <c r="A252" s="29"/>
      <c r="B252" s="40"/>
      <c r="C252" s="35"/>
      <c r="D252" s="41">
        <v>51503</v>
      </c>
      <c r="E252" s="42" t="s">
        <v>215</v>
      </c>
      <c r="F252" s="43"/>
      <c r="G252" s="43"/>
      <c r="H252" s="43">
        <f>F252+G252</f>
        <v>0</v>
      </c>
      <c r="I252" s="43"/>
      <c r="J252" s="43"/>
      <c r="K252" s="28">
        <f>H252-I252</f>
        <v>0</v>
      </c>
      <c r="M252"/>
      <c r="N252"/>
      <c r="O252"/>
      <c r="P252"/>
      <c r="Q252"/>
      <c r="R252"/>
      <c r="S252"/>
    </row>
    <row r="253" spans="1:19" s="12" customFormat="1" x14ac:dyDescent="0.25">
      <c r="A253" s="29"/>
      <c r="B253" s="35"/>
      <c r="C253" s="36">
        <v>51900</v>
      </c>
      <c r="D253" s="37" t="s">
        <v>216</v>
      </c>
      <c r="E253" s="38"/>
      <c r="F253" s="39">
        <f t="shared" ref="F253:K253" si="171">SUM(F254)</f>
        <v>20600</v>
      </c>
      <c r="G253" s="39">
        <f t="shared" si="171"/>
        <v>0</v>
      </c>
      <c r="H253" s="39">
        <f t="shared" si="171"/>
        <v>20600</v>
      </c>
      <c r="I253" s="39">
        <f t="shared" si="171"/>
        <v>0</v>
      </c>
      <c r="J253" s="39">
        <f t="shared" si="171"/>
        <v>0</v>
      </c>
      <c r="K253" s="39">
        <f t="shared" si="171"/>
        <v>20600</v>
      </c>
      <c r="M253"/>
      <c r="N253"/>
      <c r="O253"/>
      <c r="P253"/>
      <c r="Q253"/>
      <c r="R253"/>
      <c r="S253"/>
    </row>
    <row r="254" spans="1:19" s="12" customFormat="1" ht="15" customHeight="1" x14ac:dyDescent="0.25">
      <c r="A254" s="29"/>
      <c r="B254" s="40"/>
      <c r="C254" s="49"/>
      <c r="D254" s="50">
        <v>51901</v>
      </c>
      <c r="E254" s="51" t="s">
        <v>216</v>
      </c>
      <c r="F254" s="43">
        <v>20600</v>
      </c>
      <c r="G254" s="43"/>
      <c r="H254" s="43">
        <f>F254+G254</f>
        <v>20600</v>
      </c>
      <c r="I254" s="43"/>
      <c r="J254" s="43"/>
      <c r="K254" s="28">
        <f>H254-I254</f>
        <v>20600</v>
      </c>
      <c r="M254"/>
      <c r="N254"/>
      <c r="O254"/>
      <c r="P254"/>
      <c r="Q254"/>
      <c r="R254"/>
      <c r="S254"/>
    </row>
    <row r="255" spans="1:19" s="12" customFormat="1" x14ac:dyDescent="0.25">
      <c r="A255" s="29"/>
      <c r="B255" s="30">
        <v>52000</v>
      </c>
      <c r="C255" s="31" t="s">
        <v>217</v>
      </c>
      <c r="D255" s="32"/>
      <c r="E255" s="33"/>
      <c r="F255" s="34">
        <f>SUM(F256)</f>
        <v>2575</v>
      </c>
      <c r="G255" s="34">
        <f t="shared" ref="G255:K255" si="172">SUM(G256,G258)</f>
        <v>0</v>
      </c>
      <c r="H255" s="34">
        <f t="shared" si="172"/>
        <v>2575</v>
      </c>
      <c r="I255" s="34">
        <f t="shared" si="172"/>
        <v>0</v>
      </c>
      <c r="J255" s="34">
        <f t="shared" si="172"/>
        <v>0</v>
      </c>
      <c r="K255" s="34">
        <f t="shared" si="172"/>
        <v>2575</v>
      </c>
      <c r="M255"/>
      <c r="N255"/>
      <c r="O255"/>
      <c r="P255"/>
      <c r="Q255"/>
      <c r="R255"/>
      <c r="S255"/>
    </row>
    <row r="256" spans="1:19" s="12" customFormat="1" x14ac:dyDescent="0.25">
      <c r="A256" s="29"/>
      <c r="B256" s="35"/>
      <c r="C256" s="36">
        <v>52100</v>
      </c>
      <c r="D256" s="37" t="s">
        <v>218</v>
      </c>
      <c r="E256" s="38"/>
      <c r="F256" s="39">
        <f t="shared" ref="F256:K256" si="173">SUM(F257)</f>
        <v>2575</v>
      </c>
      <c r="G256" s="39">
        <f t="shared" si="173"/>
        <v>0</v>
      </c>
      <c r="H256" s="39">
        <f t="shared" si="173"/>
        <v>2575</v>
      </c>
      <c r="I256" s="39">
        <f t="shared" si="173"/>
        <v>0</v>
      </c>
      <c r="J256" s="39">
        <f t="shared" si="173"/>
        <v>0</v>
      </c>
      <c r="K256" s="39">
        <f t="shared" si="173"/>
        <v>2575</v>
      </c>
      <c r="M256"/>
      <c r="N256"/>
      <c r="O256"/>
      <c r="P256"/>
      <c r="Q256"/>
      <c r="R256"/>
      <c r="S256"/>
    </row>
    <row r="257" spans="1:19" s="12" customFormat="1" x14ac:dyDescent="0.25">
      <c r="A257" s="29"/>
      <c r="B257" s="40"/>
      <c r="C257" s="49"/>
      <c r="D257" s="50">
        <v>52101</v>
      </c>
      <c r="E257" s="51" t="s">
        <v>218</v>
      </c>
      <c r="F257" s="43">
        <v>2575</v>
      </c>
      <c r="G257" s="43"/>
      <c r="H257" s="43">
        <f>F257+G257</f>
        <v>2575</v>
      </c>
      <c r="I257" s="43"/>
      <c r="J257" s="43"/>
      <c r="K257" s="28">
        <f>H257-I257</f>
        <v>2575</v>
      </c>
      <c r="M257"/>
      <c r="N257"/>
      <c r="O257"/>
      <c r="P257"/>
      <c r="Q257"/>
      <c r="R257"/>
      <c r="S257"/>
    </row>
    <row r="258" spans="1:19" s="12" customFormat="1" hidden="1" x14ac:dyDescent="0.25">
      <c r="A258" s="29"/>
      <c r="B258" s="35"/>
      <c r="C258" s="36">
        <v>52300</v>
      </c>
      <c r="D258" s="37" t="s">
        <v>219</v>
      </c>
      <c r="E258" s="38"/>
      <c r="F258" s="39"/>
      <c r="G258" s="39">
        <f t="shared" ref="G258:K258" si="174">SUM(G259)</f>
        <v>0</v>
      </c>
      <c r="H258" s="39">
        <f t="shared" si="174"/>
        <v>0</v>
      </c>
      <c r="I258" s="39">
        <f t="shared" si="174"/>
        <v>0</v>
      </c>
      <c r="J258" s="39">
        <f t="shared" si="174"/>
        <v>0</v>
      </c>
      <c r="K258" s="39">
        <f t="shared" si="174"/>
        <v>0</v>
      </c>
      <c r="M258"/>
      <c r="N258"/>
      <c r="O258"/>
      <c r="P258"/>
      <c r="Q258"/>
      <c r="R258"/>
      <c r="S258"/>
    </row>
    <row r="259" spans="1:19" s="12" customFormat="1" hidden="1" x14ac:dyDescent="0.25">
      <c r="A259" s="29"/>
      <c r="B259" s="40"/>
      <c r="C259" s="49"/>
      <c r="D259" s="50">
        <v>52301</v>
      </c>
      <c r="E259" s="51" t="s">
        <v>219</v>
      </c>
      <c r="F259" s="43"/>
      <c r="G259" s="43"/>
      <c r="H259" s="43">
        <f>F259+G259</f>
        <v>0</v>
      </c>
      <c r="I259" s="43"/>
      <c r="J259" s="43"/>
      <c r="K259" s="28">
        <f>H259-I259</f>
        <v>0</v>
      </c>
      <c r="M259"/>
      <c r="N259"/>
      <c r="O259"/>
      <c r="P259"/>
      <c r="Q259"/>
      <c r="R259"/>
      <c r="S259"/>
    </row>
    <row r="260" spans="1:19" s="12" customFormat="1" x14ac:dyDescent="0.25">
      <c r="A260" s="29"/>
      <c r="B260" s="30">
        <v>53000</v>
      </c>
      <c r="C260" s="31" t="s">
        <v>220</v>
      </c>
      <c r="D260" s="32"/>
      <c r="E260" s="33"/>
      <c r="F260" s="34">
        <f t="shared" ref="F260:K260" si="175">SUM(F261)</f>
        <v>129363.39</v>
      </c>
      <c r="G260" s="34">
        <f t="shared" si="175"/>
        <v>0</v>
      </c>
      <c r="H260" s="34">
        <f t="shared" si="175"/>
        <v>129363.39</v>
      </c>
      <c r="I260" s="34">
        <f t="shared" si="175"/>
        <v>0</v>
      </c>
      <c r="J260" s="34">
        <f t="shared" si="175"/>
        <v>0</v>
      </c>
      <c r="K260" s="34">
        <f t="shared" si="175"/>
        <v>129363.39</v>
      </c>
      <c r="M260"/>
      <c r="N260"/>
      <c r="O260"/>
      <c r="P260"/>
      <c r="Q260"/>
      <c r="R260"/>
      <c r="S260"/>
    </row>
    <row r="261" spans="1:19" s="12" customFormat="1" x14ac:dyDescent="0.25">
      <c r="A261" s="29"/>
      <c r="B261" s="35"/>
      <c r="C261" s="36">
        <v>53200</v>
      </c>
      <c r="D261" s="37" t="s">
        <v>221</v>
      </c>
      <c r="E261" s="38"/>
      <c r="F261" s="39">
        <f>SUM(F262:F262)</f>
        <v>129363.39</v>
      </c>
      <c r="G261" s="39">
        <f t="shared" ref="G261:K261" si="176">SUM(G262:G263)</f>
        <v>0</v>
      </c>
      <c r="H261" s="39">
        <f t="shared" si="176"/>
        <v>129363.39</v>
      </c>
      <c r="I261" s="39">
        <f t="shared" si="176"/>
        <v>0</v>
      </c>
      <c r="J261" s="39">
        <f t="shared" si="176"/>
        <v>0</v>
      </c>
      <c r="K261" s="39">
        <f t="shared" si="176"/>
        <v>129363.39</v>
      </c>
      <c r="M261"/>
      <c r="N261"/>
      <c r="O261"/>
      <c r="P261"/>
      <c r="Q261"/>
      <c r="R261"/>
      <c r="S261"/>
    </row>
    <row r="262" spans="1:19" s="12" customFormat="1" x14ac:dyDescent="0.25">
      <c r="A262" s="29"/>
      <c r="B262" s="40"/>
      <c r="C262" s="49"/>
      <c r="D262" s="50">
        <v>53101</v>
      </c>
      <c r="E262" s="53" t="s">
        <v>222</v>
      </c>
      <c r="F262" s="43">
        <v>129363.39</v>
      </c>
      <c r="G262" s="43"/>
      <c r="H262" s="43">
        <f>F262+G262</f>
        <v>129363.39</v>
      </c>
      <c r="I262" s="43"/>
      <c r="J262" s="43"/>
      <c r="K262" s="28">
        <f>H262-I262</f>
        <v>129363.39</v>
      </c>
      <c r="M262"/>
      <c r="N262"/>
      <c r="O262"/>
      <c r="P262"/>
      <c r="Q262"/>
      <c r="R262"/>
      <c r="S262"/>
    </row>
    <row r="263" spans="1:19" s="12" customFormat="1" hidden="1" x14ac:dyDescent="0.25">
      <c r="A263" s="29"/>
      <c r="B263" s="40"/>
      <c r="C263" s="49"/>
      <c r="D263" s="50">
        <v>53201</v>
      </c>
      <c r="E263" s="53" t="s">
        <v>221</v>
      </c>
      <c r="F263" s="43"/>
      <c r="G263" s="43"/>
      <c r="H263" s="43">
        <f>F263+G263</f>
        <v>0</v>
      </c>
      <c r="I263" s="43"/>
      <c r="J263" s="43"/>
      <c r="K263" s="28">
        <f>H263-I263</f>
        <v>0</v>
      </c>
      <c r="M263"/>
      <c r="N263"/>
      <c r="O263"/>
      <c r="P263"/>
      <c r="Q263"/>
      <c r="R263"/>
      <c r="S263"/>
    </row>
    <row r="264" spans="1:19" s="12" customFormat="1" hidden="1" x14ac:dyDescent="0.25">
      <c r="A264" s="29"/>
      <c r="B264" s="30">
        <v>54000</v>
      </c>
      <c r="C264" s="31" t="s">
        <v>223</v>
      </c>
      <c r="D264" s="32"/>
      <c r="E264" s="33"/>
      <c r="F264" s="34">
        <f t="shared" ref="F264:K265" si="177">SUM(F265)</f>
        <v>0</v>
      </c>
      <c r="G264" s="34">
        <f t="shared" si="177"/>
        <v>0</v>
      </c>
      <c r="H264" s="34">
        <f t="shared" si="177"/>
        <v>0</v>
      </c>
      <c r="I264" s="34">
        <f t="shared" si="177"/>
        <v>0</v>
      </c>
      <c r="J264" s="34">
        <f t="shared" si="177"/>
        <v>0</v>
      </c>
      <c r="K264" s="34">
        <f t="shared" si="177"/>
        <v>0</v>
      </c>
      <c r="M264"/>
      <c r="N264"/>
      <c r="O264"/>
      <c r="P264"/>
      <c r="Q264"/>
      <c r="R264"/>
      <c r="S264"/>
    </row>
    <row r="265" spans="1:19" s="12" customFormat="1" hidden="1" x14ac:dyDescent="0.25">
      <c r="A265" s="29"/>
      <c r="B265" s="35"/>
      <c r="C265" s="36">
        <v>54100</v>
      </c>
      <c r="D265" s="37" t="s">
        <v>223</v>
      </c>
      <c r="E265" s="38"/>
      <c r="F265" s="39"/>
      <c r="G265" s="39">
        <f t="shared" si="177"/>
        <v>0</v>
      </c>
      <c r="H265" s="39">
        <f t="shared" si="177"/>
        <v>0</v>
      </c>
      <c r="I265" s="39">
        <f t="shared" si="177"/>
        <v>0</v>
      </c>
      <c r="J265" s="39">
        <f t="shared" si="177"/>
        <v>0</v>
      </c>
      <c r="K265" s="39">
        <f t="shared" si="177"/>
        <v>0</v>
      </c>
      <c r="M265"/>
      <c r="N265"/>
      <c r="O265"/>
      <c r="P265"/>
      <c r="Q265"/>
      <c r="R265"/>
      <c r="S265"/>
    </row>
    <row r="266" spans="1:19" s="12" customFormat="1" hidden="1" x14ac:dyDescent="0.25">
      <c r="A266" s="29"/>
      <c r="B266" s="40"/>
      <c r="C266" s="49"/>
      <c r="D266" s="50">
        <v>54101</v>
      </c>
      <c r="E266" s="51" t="s">
        <v>223</v>
      </c>
      <c r="F266" s="43"/>
      <c r="G266" s="43"/>
      <c r="H266" s="43">
        <f>F266+G266</f>
        <v>0</v>
      </c>
      <c r="I266" s="43"/>
      <c r="J266" s="43"/>
      <c r="K266" s="28">
        <f>H266-I266</f>
        <v>0</v>
      </c>
      <c r="M266"/>
      <c r="N266"/>
      <c r="O266"/>
      <c r="P266"/>
      <c r="Q266"/>
      <c r="R266"/>
      <c r="S266"/>
    </row>
    <row r="267" spans="1:19" s="12" customFormat="1" x14ac:dyDescent="0.25">
      <c r="A267" s="29"/>
      <c r="B267" s="30">
        <v>56000</v>
      </c>
      <c r="C267" s="31" t="s">
        <v>224</v>
      </c>
      <c r="D267" s="32"/>
      <c r="E267" s="33"/>
      <c r="F267" s="34">
        <f t="shared" ref="F267:K267" si="178">SUM(F268,F270,F272,F274)</f>
        <v>140000</v>
      </c>
      <c r="G267" s="34">
        <f t="shared" si="178"/>
        <v>0</v>
      </c>
      <c r="H267" s="34">
        <f t="shared" si="178"/>
        <v>140000</v>
      </c>
      <c r="I267" s="34">
        <f t="shared" si="178"/>
        <v>47123.519999999997</v>
      </c>
      <c r="J267" s="34">
        <f t="shared" si="178"/>
        <v>18187.2</v>
      </c>
      <c r="K267" s="34">
        <f t="shared" si="178"/>
        <v>92876.48000000001</v>
      </c>
      <c r="M267"/>
      <c r="N267"/>
      <c r="O267"/>
      <c r="P267"/>
      <c r="Q267"/>
      <c r="R267"/>
      <c r="S267"/>
    </row>
    <row r="268" spans="1:19" s="12" customFormat="1" x14ac:dyDescent="0.25">
      <c r="A268" s="29"/>
      <c r="B268" s="35"/>
      <c r="C268" s="36">
        <v>56400</v>
      </c>
      <c r="D268" s="37" t="s">
        <v>225</v>
      </c>
      <c r="E268" s="38"/>
      <c r="F268" s="39">
        <f t="shared" ref="F268:K268" si="179">SUM(F269)</f>
        <v>90000</v>
      </c>
      <c r="G268" s="39">
        <f t="shared" si="179"/>
        <v>0</v>
      </c>
      <c r="H268" s="39">
        <f t="shared" si="179"/>
        <v>90000</v>
      </c>
      <c r="I268" s="39">
        <f t="shared" si="179"/>
        <v>0</v>
      </c>
      <c r="J268" s="39">
        <f t="shared" si="179"/>
        <v>0</v>
      </c>
      <c r="K268" s="39">
        <f t="shared" si="179"/>
        <v>90000</v>
      </c>
      <c r="M268"/>
      <c r="N268"/>
      <c r="O268"/>
      <c r="P268"/>
      <c r="Q268"/>
      <c r="R268"/>
      <c r="S268"/>
    </row>
    <row r="269" spans="1:19" s="12" customFormat="1" ht="30" x14ac:dyDescent="0.25">
      <c r="A269" s="29"/>
      <c r="B269" s="40"/>
      <c r="C269" s="35"/>
      <c r="D269" s="41">
        <v>56401</v>
      </c>
      <c r="E269" s="42" t="s">
        <v>226</v>
      </c>
      <c r="F269" s="43">
        <v>90000</v>
      </c>
      <c r="G269" s="43"/>
      <c r="H269" s="43">
        <f>F269+G269</f>
        <v>90000</v>
      </c>
      <c r="I269" s="43"/>
      <c r="J269" s="43"/>
      <c r="K269" s="28">
        <f>H269-I269</f>
        <v>90000</v>
      </c>
      <c r="M269"/>
      <c r="N269"/>
      <c r="O269"/>
      <c r="P269"/>
      <c r="Q269"/>
      <c r="R269"/>
      <c r="S269"/>
    </row>
    <row r="270" spans="1:19" s="12" customFormat="1" x14ac:dyDescent="0.25">
      <c r="A270" s="29"/>
      <c r="B270" s="35"/>
      <c r="C270" s="36">
        <v>56500</v>
      </c>
      <c r="D270" s="37" t="s">
        <v>227</v>
      </c>
      <c r="E270" s="38"/>
      <c r="F270" s="39">
        <f t="shared" ref="F270:K270" si="180">SUM(F271)</f>
        <v>50000</v>
      </c>
      <c r="G270" s="39">
        <f t="shared" si="180"/>
        <v>0</v>
      </c>
      <c r="H270" s="39">
        <f t="shared" si="180"/>
        <v>50000</v>
      </c>
      <c r="I270" s="39">
        <f t="shared" si="180"/>
        <v>47123.519999999997</v>
      </c>
      <c r="J270" s="39">
        <f t="shared" si="180"/>
        <v>18187.2</v>
      </c>
      <c r="K270" s="39">
        <f t="shared" si="180"/>
        <v>2876.4800000000032</v>
      </c>
      <c r="M270"/>
      <c r="N270"/>
      <c r="O270"/>
      <c r="P270"/>
      <c r="Q270"/>
      <c r="R270"/>
      <c r="S270"/>
    </row>
    <row r="271" spans="1:19" s="12" customFormat="1" ht="30" x14ac:dyDescent="0.25">
      <c r="A271" s="29"/>
      <c r="B271" s="40"/>
      <c r="C271" s="35"/>
      <c r="D271" s="41">
        <v>56501</v>
      </c>
      <c r="E271" s="42" t="s">
        <v>227</v>
      </c>
      <c r="F271" s="43">
        <v>50000</v>
      </c>
      <c r="G271" s="43"/>
      <c r="H271" s="43">
        <f>F271+G271</f>
        <v>50000</v>
      </c>
      <c r="I271" s="43">
        <v>47123.519999999997</v>
      </c>
      <c r="J271" s="43">
        <v>18187.2</v>
      </c>
      <c r="K271" s="28">
        <f>H271-I271</f>
        <v>2876.4800000000032</v>
      </c>
      <c r="M271"/>
      <c r="N271"/>
      <c r="O271"/>
      <c r="P271"/>
      <c r="Q271"/>
      <c r="R271"/>
      <c r="S271"/>
    </row>
    <row r="272" spans="1:19" s="12" customFormat="1" hidden="1" x14ac:dyDescent="0.25">
      <c r="A272" s="29"/>
      <c r="B272" s="35"/>
      <c r="C272" s="36">
        <v>56600</v>
      </c>
      <c r="D272" s="37" t="s">
        <v>228</v>
      </c>
      <c r="E272" s="38"/>
      <c r="F272" s="39"/>
      <c r="G272" s="39">
        <f t="shared" ref="G272:K272" si="181">SUM(G273)</f>
        <v>0</v>
      </c>
      <c r="H272" s="39">
        <f t="shared" si="181"/>
        <v>0</v>
      </c>
      <c r="I272" s="39">
        <f t="shared" si="181"/>
        <v>0</v>
      </c>
      <c r="J272" s="39">
        <f t="shared" si="181"/>
        <v>0</v>
      </c>
      <c r="K272" s="39">
        <f t="shared" si="181"/>
        <v>0</v>
      </c>
      <c r="M272"/>
      <c r="N272"/>
      <c r="O272"/>
      <c r="P272"/>
      <c r="Q272"/>
      <c r="R272"/>
      <c r="S272"/>
    </row>
    <row r="273" spans="1:19" s="12" customFormat="1" ht="30" hidden="1" x14ac:dyDescent="0.25">
      <c r="A273" s="29"/>
      <c r="B273" s="40"/>
      <c r="C273" s="35"/>
      <c r="D273" s="52">
        <v>56601</v>
      </c>
      <c r="E273" s="54" t="s">
        <v>228</v>
      </c>
      <c r="F273" s="43"/>
      <c r="G273" s="43"/>
      <c r="H273" s="43">
        <f>F273+G273</f>
        <v>0</v>
      </c>
      <c r="I273" s="43"/>
      <c r="J273" s="43"/>
      <c r="K273" s="28">
        <f>H273-I273</f>
        <v>0</v>
      </c>
      <c r="M273"/>
      <c r="N273"/>
      <c r="O273"/>
      <c r="P273"/>
      <c r="Q273"/>
      <c r="R273"/>
      <c r="S273"/>
    </row>
    <row r="274" spans="1:19" s="12" customFormat="1" hidden="1" x14ac:dyDescent="0.25">
      <c r="A274" s="29"/>
      <c r="B274" s="35"/>
      <c r="C274" s="36">
        <v>56900</v>
      </c>
      <c r="D274" s="37" t="s">
        <v>229</v>
      </c>
      <c r="E274" s="38"/>
      <c r="F274" s="39"/>
      <c r="G274" s="39">
        <f t="shared" ref="G274:K274" si="182">SUM(G275)</f>
        <v>0</v>
      </c>
      <c r="H274" s="39">
        <f t="shared" si="182"/>
        <v>0</v>
      </c>
      <c r="I274" s="39">
        <f t="shared" si="182"/>
        <v>0</v>
      </c>
      <c r="J274" s="39">
        <f t="shared" si="182"/>
        <v>0</v>
      </c>
      <c r="K274" s="39">
        <f t="shared" si="182"/>
        <v>0</v>
      </c>
      <c r="M274"/>
      <c r="N274"/>
      <c r="O274"/>
      <c r="P274"/>
      <c r="Q274"/>
      <c r="R274"/>
      <c r="S274"/>
    </row>
    <row r="275" spans="1:19" s="12" customFormat="1" hidden="1" x14ac:dyDescent="0.25">
      <c r="A275" s="29"/>
      <c r="B275" s="40"/>
      <c r="C275" s="35"/>
      <c r="D275" s="41">
        <v>56901</v>
      </c>
      <c r="E275" s="42" t="s">
        <v>229</v>
      </c>
      <c r="F275" s="43"/>
      <c r="G275" s="43"/>
      <c r="H275" s="43">
        <f t="shared" ref="H275:H280" si="183">F275+G275</f>
        <v>0</v>
      </c>
      <c r="I275" s="43"/>
      <c r="J275" s="43"/>
      <c r="K275" s="28">
        <f t="shared" ref="K275:K280" si="184">H275-I275</f>
        <v>0</v>
      </c>
      <c r="M275"/>
      <c r="N275"/>
      <c r="O275"/>
      <c r="P275"/>
      <c r="Q275"/>
      <c r="R275"/>
      <c r="S275"/>
    </row>
    <row r="276" spans="1:19" s="12" customFormat="1" x14ac:dyDescent="0.25">
      <c r="A276" s="29"/>
      <c r="B276" s="55"/>
      <c r="C276" s="56"/>
      <c r="D276" s="50"/>
      <c r="E276" s="51"/>
      <c r="F276" s="43"/>
      <c r="G276" s="43"/>
      <c r="H276" s="43"/>
      <c r="I276" s="43"/>
      <c r="J276" s="43"/>
      <c r="K276" s="28"/>
      <c r="M276"/>
      <c r="N276"/>
      <c r="O276"/>
      <c r="P276"/>
      <c r="Q276"/>
      <c r="R276"/>
      <c r="S276"/>
    </row>
    <row r="277" spans="1:19" s="12" customFormat="1" x14ac:dyDescent="0.25">
      <c r="A277" s="23">
        <v>60000</v>
      </c>
      <c r="B277" s="24" t="s">
        <v>230</v>
      </c>
      <c r="C277" s="25"/>
      <c r="D277" s="25"/>
      <c r="E277" s="26"/>
      <c r="F277" s="28">
        <f t="shared" ref="F277:K279" si="185">SUM(F278)</f>
        <v>38592.699999999997</v>
      </c>
      <c r="G277" s="28">
        <f t="shared" si="185"/>
        <v>0</v>
      </c>
      <c r="H277" s="28">
        <f t="shared" si="185"/>
        <v>38592.699999999997</v>
      </c>
      <c r="I277" s="28">
        <f t="shared" si="185"/>
        <v>0</v>
      </c>
      <c r="J277" s="28">
        <f t="shared" si="185"/>
        <v>0</v>
      </c>
      <c r="K277" s="28">
        <f t="shared" si="185"/>
        <v>38592.699999999997</v>
      </c>
      <c r="M277"/>
      <c r="N277"/>
      <c r="O277"/>
      <c r="P277"/>
      <c r="Q277"/>
      <c r="R277"/>
      <c r="S277"/>
    </row>
    <row r="278" spans="1:19" s="12" customFormat="1" x14ac:dyDescent="0.25">
      <c r="A278" s="29"/>
      <c r="B278" s="30">
        <v>62000</v>
      </c>
      <c r="C278" s="31" t="s">
        <v>231</v>
      </c>
      <c r="D278" s="32"/>
      <c r="E278" s="33"/>
      <c r="F278" s="34">
        <f t="shared" si="185"/>
        <v>38592.699999999997</v>
      </c>
      <c r="G278" s="34">
        <f t="shared" si="185"/>
        <v>0</v>
      </c>
      <c r="H278" s="34">
        <f t="shared" si="185"/>
        <v>38592.699999999997</v>
      </c>
      <c r="I278" s="34">
        <f t="shared" si="185"/>
        <v>0</v>
      </c>
      <c r="J278" s="34">
        <f t="shared" si="185"/>
        <v>0</v>
      </c>
      <c r="K278" s="34">
        <f t="shared" si="185"/>
        <v>38592.699999999997</v>
      </c>
      <c r="M278"/>
      <c r="N278"/>
      <c r="O278"/>
      <c r="P278"/>
      <c r="Q278"/>
      <c r="R278"/>
      <c r="S278"/>
    </row>
    <row r="279" spans="1:19" s="12" customFormat="1" x14ac:dyDescent="0.25">
      <c r="A279" s="29"/>
      <c r="B279" s="35"/>
      <c r="C279" s="36">
        <v>62900</v>
      </c>
      <c r="D279" s="37" t="s">
        <v>232</v>
      </c>
      <c r="E279" s="38"/>
      <c r="F279" s="39">
        <f t="shared" si="185"/>
        <v>38592.699999999997</v>
      </c>
      <c r="G279" s="39">
        <f t="shared" si="185"/>
        <v>0</v>
      </c>
      <c r="H279" s="39">
        <f t="shared" si="185"/>
        <v>38592.699999999997</v>
      </c>
      <c r="I279" s="39">
        <f t="shared" si="185"/>
        <v>0</v>
      </c>
      <c r="J279" s="39">
        <f t="shared" si="185"/>
        <v>0</v>
      </c>
      <c r="K279" s="39">
        <f t="shared" si="185"/>
        <v>38592.699999999997</v>
      </c>
      <c r="M279"/>
      <c r="N279"/>
      <c r="O279"/>
      <c r="P279"/>
      <c r="Q279"/>
      <c r="R279"/>
      <c r="S279"/>
    </row>
    <row r="280" spans="1:19" s="12" customFormat="1" ht="30" x14ac:dyDescent="0.25">
      <c r="A280" s="57"/>
      <c r="B280" s="58"/>
      <c r="C280" s="59"/>
      <c r="D280" s="60">
        <v>62901</v>
      </c>
      <c r="E280" s="61" t="s">
        <v>233</v>
      </c>
      <c r="F280" s="43">
        <v>38592.699999999997</v>
      </c>
      <c r="G280" s="43"/>
      <c r="H280" s="43">
        <f t="shared" si="183"/>
        <v>38592.699999999997</v>
      </c>
      <c r="I280" s="43"/>
      <c r="J280" s="43"/>
      <c r="K280" s="28">
        <f t="shared" si="184"/>
        <v>38592.699999999997</v>
      </c>
      <c r="M280"/>
      <c r="N280"/>
      <c r="O280"/>
      <c r="P280"/>
      <c r="Q280"/>
      <c r="R280"/>
      <c r="S280"/>
    </row>
    <row r="281" spans="1:19" s="12" customFormat="1" x14ac:dyDescent="0.25">
      <c r="A281" s="57"/>
      <c r="B281" s="58"/>
      <c r="C281" s="59"/>
      <c r="D281" s="60"/>
      <c r="E281" s="61"/>
      <c r="F281" s="62"/>
      <c r="G281" s="62"/>
      <c r="H281" s="62"/>
      <c r="I281" s="62"/>
      <c r="J281" s="62"/>
      <c r="K281" s="63"/>
      <c r="M281"/>
      <c r="N281"/>
      <c r="O281"/>
      <c r="P281"/>
      <c r="Q281"/>
      <c r="R281"/>
      <c r="S281"/>
    </row>
    <row r="282" spans="1:19" s="12" customFormat="1" x14ac:dyDescent="0.25">
      <c r="A282" s="23">
        <v>70000</v>
      </c>
      <c r="B282" s="24" t="s">
        <v>234</v>
      </c>
      <c r="C282" s="25"/>
      <c r="D282" s="25"/>
      <c r="E282" s="26"/>
      <c r="F282" s="28">
        <f>F283</f>
        <v>5000000</v>
      </c>
      <c r="G282" s="28">
        <f t="shared" ref="G282:K284" si="186">G283</f>
        <v>0</v>
      </c>
      <c r="H282" s="28">
        <f t="shared" si="186"/>
        <v>5000000</v>
      </c>
      <c r="I282" s="28">
        <f t="shared" si="186"/>
        <v>0</v>
      </c>
      <c r="J282" s="28">
        <f t="shared" si="186"/>
        <v>0</v>
      </c>
      <c r="K282" s="28">
        <f t="shared" si="186"/>
        <v>5000000</v>
      </c>
      <c r="M282"/>
      <c r="N282"/>
      <c r="O282"/>
      <c r="P282"/>
      <c r="Q282"/>
      <c r="R282"/>
      <c r="S282"/>
    </row>
    <row r="283" spans="1:19" s="12" customFormat="1" x14ac:dyDescent="0.25">
      <c r="A283" s="29"/>
      <c r="B283" s="30">
        <v>75000</v>
      </c>
      <c r="C283" s="31" t="s">
        <v>235</v>
      </c>
      <c r="D283" s="32"/>
      <c r="E283" s="33"/>
      <c r="F283" s="34">
        <f>F284</f>
        <v>5000000</v>
      </c>
      <c r="G283" s="34">
        <f t="shared" si="186"/>
        <v>0</v>
      </c>
      <c r="H283" s="34">
        <f t="shared" si="186"/>
        <v>5000000</v>
      </c>
      <c r="I283" s="34">
        <f t="shared" si="186"/>
        <v>0</v>
      </c>
      <c r="J283" s="34">
        <f t="shared" si="186"/>
        <v>0</v>
      </c>
      <c r="K283" s="34">
        <f t="shared" si="186"/>
        <v>5000000</v>
      </c>
      <c r="M283"/>
      <c r="N283"/>
      <c r="O283"/>
      <c r="P283"/>
      <c r="Q283"/>
      <c r="R283"/>
      <c r="S283"/>
    </row>
    <row r="284" spans="1:19" s="12" customFormat="1" x14ac:dyDescent="0.25">
      <c r="A284" s="29"/>
      <c r="B284" s="35"/>
      <c r="C284" s="36">
        <v>75300</v>
      </c>
      <c r="D284" s="37" t="s">
        <v>236</v>
      </c>
      <c r="E284" s="38"/>
      <c r="F284" s="39">
        <f>F285</f>
        <v>5000000</v>
      </c>
      <c r="G284" s="39">
        <f t="shared" si="186"/>
        <v>0</v>
      </c>
      <c r="H284" s="39">
        <f t="shared" si="186"/>
        <v>5000000</v>
      </c>
      <c r="I284" s="39">
        <f t="shared" si="186"/>
        <v>0</v>
      </c>
      <c r="J284" s="39">
        <f t="shared" si="186"/>
        <v>0</v>
      </c>
      <c r="K284" s="39">
        <f t="shared" si="186"/>
        <v>5000000</v>
      </c>
      <c r="M284"/>
      <c r="N284"/>
      <c r="O284"/>
      <c r="P284"/>
      <c r="Q284"/>
      <c r="R284"/>
      <c r="S284"/>
    </row>
    <row r="285" spans="1:19" s="12" customFormat="1" ht="30" x14ac:dyDescent="0.25">
      <c r="A285" s="57"/>
      <c r="B285" s="58"/>
      <c r="C285" s="59"/>
      <c r="D285" s="60">
        <v>75301</v>
      </c>
      <c r="E285" s="61" t="s">
        <v>237</v>
      </c>
      <c r="F285" s="43">
        <v>5000000</v>
      </c>
      <c r="G285" s="43"/>
      <c r="H285" s="43">
        <f t="shared" ref="H285" si="187">F285+G285</f>
        <v>5000000</v>
      </c>
      <c r="I285" s="43"/>
      <c r="J285" s="43"/>
      <c r="K285" s="28">
        <f t="shared" ref="K285" si="188">H285-I285</f>
        <v>5000000</v>
      </c>
      <c r="M285"/>
      <c r="N285"/>
      <c r="O285"/>
      <c r="P285"/>
      <c r="Q285"/>
      <c r="R285"/>
      <c r="S285"/>
    </row>
    <row r="286" spans="1:19" s="12" customFormat="1" ht="15.75" thickBot="1" x14ac:dyDescent="0.3">
      <c r="A286" s="64"/>
      <c r="B286" s="65"/>
      <c r="C286" s="66"/>
      <c r="D286" s="67"/>
      <c r="E286" s="68"/>
      <c r="F286" s="69"/>
      <c r="G286" s="69"/>
      <c r="H286" s="69"/>
      <c r="I286" s="69"/>
      <c r="J286" s="69"/>
      <c r="K286" s="69"/>
      <c r="M286"/>
      <c r="N286"/>
      <c r="O286"/>
      <c r="P286"/>
      <c r="Q286"/>
      <c r="R286"/>
      <c r="S286"/>
    </row>
  </sheetData>
  <mergeCells count="10">
    <mergeCell ref="A7:A8"/>
    <mergeCell ref="B7:B8"/>
    <mergeCell ref="C7:E7"/>
    <mergeCell ref="F7:J7"/>
    <mergeCell ref="K7:K8"/>
    <mergeCell ref="A1:K1"/>
    <mergeCell ref="A2:K2"/>
    <mergeCell ref="A3:K3"/>
    <mergeCell ref="A4:K4"/>
    <mergeCell ref="A5:K5"/>
  </mergeCells>
  <pageMargins left="0.51181102362204722" right="0.44" top="0.71" bottom="0.83" header="0.23622047244094491" footer="0.55118110236220474"/>
  <pageSetup scale="56" fitToHeight="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COG_PARTIDA_ESPECIFICA</vt:lpstr>
      <vt:lpstr>COG_PARTIDA_ESPECIFICA!Área_de_impresión</vt:lpstr>
      <vt:lpstr>COG_PARTIDA_ESPECIFICA!Print_Titles</vt:lpstr>
      <vt:lpstr>COG_PARTIDA_ESPECIFICA!Títulos_a_imprimir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2019-04-25T19:02:19Z</dcterms:created>
  <dcterms:modified xsi:type="dcterms:W3CDTF">2019-04-29T18:10:14Z</dcterms:modified>
</cp:coreProperties>
</file>